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OWN JUG" sheetId="1" r:id="rId4"/>
    <sheet state="visible" name="ECLIPSE" sheetId="2" r:id="rId5"/>
    <sheet state="visible" name="TERROR" sheetId="3" r:id="rId6"/>
    <sheet state="visible" name="COMMAS DT" sheetId="4" r:id="rId7"/>
    <sheet state="visible" name="COMMAS PE" sheetId="5" r:id="rId8"/>
    <sheet state="visible" name="HARD BOILED DT" sheetId="6" r:id="rId9"/>
    <sheet state="visible" name="DRIFTS" sheetId="7" r:id="rId10"/>
    <sheet state="visible" name="FANGS DT" sheetId="8" r:id="rId11"/>
    <sheet state="visible" name="LOAVES" sheetId="9" r:id="rId12"/>
    <sheet state="visible" name="ROCK LINE" sheetId="10" r:id="rId13"/>
    <sheet state="visible" name="SMOOTHLINE" sheetId="11" r:id="rId14"/>
    <sheet state="visible" name="FIBERGLASS MACROS" sheetId="12" r:id="rId15"/>
    <sheet state="visible" name="THERMO PLASTIC MACROS DUAL " sheetId="13" r:id="rId16"/>
    <sheet state="visible" name="THERMO PLASTIC MACROS" sheetId="14" r:id="rId17"/>
    <sheet state="visible" name="TOTALS" sheetId="15" r:id="rId18"/>
  </sheets>
  <definedNames/>
  <calcPr/>
  <extLst>
    <ext uri="GoogleSheetsCustomDataVersion2">
      <go:sheetsCustomData xmlns:go="http://customooxmlschemas.google.com/" r:id="rId19" roundtripDataChecksum="06429XdV6WSBISriAjpRV5Q1754Zr4gGChEMeBmVt8o="/>
    </ext>
  </extLst>
</workbook>
</file>

<file path=xl/sharedStrings.xml><?xml version="1.0" encoding="utf-8"?>
<sst xmlns="http://schemas.openxmlformats.org/spreadsheetml/2006/main" count="1239" uniqueCount="841">
  <si>
    <t>Down climbing Jugs</t>
  </si>
  <si>
    <t xml:space="preserve">Grey </t>
  </si>
  <si>
    <t>RAL 3020</t>
  </si>
  <si>
    <t>RAL 5015</t>
  </si>
  <si>
    <t>RAL 9005</t>
  </si>
  <si>
    <t>RAL 2005</t>
  </si>
  <si>
    <t>PAN 802C</t>
  </si>
  <si>
    <t>PAN 806C</t>
  </si>
  <si>
    <t>RAL 4008</t>
  </si>
  <si>
    <t>RAL 6027</t>
  </si>
  <si>
    <t>RAL 6018</t>
  </si>
  <si>
    <t>US 14-01</t>
  </si>
  <si>
    <t>US 16-16</t>
  </si>
  <si>
    <t>RAL 9010</t>
  </si>
  <si>
    <t>PAN 267U</t>
  </si>
  <si>
    <t>NAME</t>
  </si>
  <si>
    <t>PHOTO</t>
  </si>
  <si>
    <t>SET SIZE</t>
  </si>
  <si>
    <t>SKU</t>
  </si>
  <si>
    <t>PRICE</t>
  </si>
  <si>
    <t>SETS</t>
  </si>
  <si>
    <t>HOLDS</t>
  </si>
  <si>
    <t>WEIGHT</t>
  </si>
  <si>
    <t>TOTAL ex TAX</t>
  </si>
  <si>
    <t>Down Foot</t>
  </si>
  <si>
    <t>Downjug</t>
  </si>
  <si>
    <t>ECLIPSE FAMILY</t>
  </si>
  <si>
    <t>RAL 1023</t>
  </si>
  <si>
    <t>JUGS &amp; FEET</t>
  </si>
  <si>
    <t>MEDIUM  FEET 1</t>
  </si>
  <si>
    <t>UBE 76</t>
  </si>
  <si>
    <t>MEDIUM  FEET 2</t>
  </si>
  <si>
    <t>UBE 79</t>
  </si>
  <si>
    <t>MEDIUM DEEP FEET</t>
  </si>
  <si>
    <t>UBE 80</t>
  </si>
  <si>
    <r>
      <rPr>
        <rFont val="Calibri"/>
        <b/>
        <color theme="1"/>
        <sz val="14.0"/>
      </rPr>
      <t xml:space="preserve">M JUGS                </t>
    </r>
    <r>
      <rPr>
        <rFont val="Calibri"/>
        <b/>
        <color theme="1"/>
        <sz val="11.0"/>
      </rPr>
      <t xml:space="preserve">SET A  </t>
    </r>
  </si>
  <si>
    <t>UBE 21</t>
  </si>
  <si>
    <r>
      <rPr>
        <rFont val="Calibri"/>
        <b/>
        <color theme="1"/>
        <sz val="14.0"/>
      </rPr>
      <t xml:space="preserve">L JUGS                </t>
    </r>
    <r>
      <rPr>
        <rFont val="Calibri"/>
        <b/>
        <color theme="1"/>
        <sz val="11.0"/>
      </rPr>
      <t>SET B</t>
    </r>
  </si>
  <si>
    <t>UBE 22</t>
  </si>
  <si>
    <r>
      <rPr>
        <rFont val="Calibri"/>
        <b/>
        <color theme="1"/>
        <sz val="14.0"/>
      </rPr>
      <t xml:space="preserve">XL JUGS             </t>
    </r>
    <r>
      <rPr>
        <rFont val="Calibri"/>
        <b/>
        <color theme="1"/>
        <sz val="11.0"/>
      </rPr>
      <t xml:space="preserve"> SET C</t>
    </r>
  </si>
  <si>
    <t>UBE 23</t>
  </si>
  <si>
    <r>
      <rPr>
        <rFont val="Calibri"/>
        <b/>
        <color theme="1"/>
        <sz val="15.0"/>
      </rPr>
      <t xml:space="preserve">XL JUGS           </t>
    </r>
    <r>
      <rPr>
        <rFont val="Calibri"/>
        <b/>
        <color theme="1"/>
        <sz val="11.0"/>
      </rPr>
      <t xml:space="preserve"> SET D</t>
    </r>
  </si>
  <si>
    <t>UBE 24</t>
  </si>
  <si>
    <t>EDGES &amp; SLOPERS &amp; FEET</t>
  </si>
  <si>
    <t>XS FEET 1</t>
  </si>
  <si>
    <t>UBE 85</t>
  </si>
  <si>
    <t>XS FEET 2</t>
  </si>
  <si>
    <t xml:space="preserve">UBE 86 </t>
  </si>
  <si>
    <t>S FEET 1</t>
  </si>
  <si>
    <t>UBE 77</t>
  </si>
  <si>
    <t>UBE 78</t>
  </si>
  <si>
    <t>M FEET &amp; EDGES</t>
  </si>
  <si>
    <t>UBE 84</t>
  </si>
  <si>
    <t xml:space="preserve">MEDIUM 1 SLOPERS &amp; EDGE </t>
  </si>
  <si>
    <t>UBE 74</t>
  </si>
  <si>
    <t>MEDIUM 2 EDGE</t>
  </si>
  <si>
    <t>UBE 75</t>
  </si>
  <si>
    <t>M EDGES             slope &amp; edge</t>
  </si>
  <si>
    <t>UBE 02</t>
  </si>
  <si>
    <r>
      <rPr>
        <rFont val="Calibri"/>
        <b/>
        <color theme="1"/>
        <sz val="13.0"/>
      </rPr>
      <t xml:space="preserve">L SET A        </t>
    </r>
    <r>
      <rPr>
        <rFont val="Calibri"/>
        <b/>
        <color theme="1"/>
        <sz val="11.0"/>
      </rPr>
      <t xml:space="preserve">MIXED EDGES </t>
    </r>
  </si>
  <si>
    <t>UBE 01</t>
  </si>
  <si>
    <r>
      <rPr>
        <rFont val="Calibri"/>
        <b/>
        <color theme="1"/>
        <sz val="13.0"/>
      </rPr>
      <t>L SET B</t>
    </r>
    <r>
      <rPr>
        <rFont val="Calibri"/>
        <b/>
        <color theme="1"/>
        <sz val="11.0"/>
      </rPr>
      <t xml:space="preserve">         MIXED DEEP INCUT AND SLOPERS</t>
    </r>
  </si>
  <si>
    <t>UBE 05</t>
  </si>
  <si>
    <r>
      <rPr>
        <rFont val="Calibri"/>
        <b/>
        <color theme="1"/>
        <sz val="14.0"/>
      </rPr>
      <t xml:space="preserve">XL SET C     </t>
    </r>
    <r>
      <rPr>
        <rFont val="Calibri"/>
        <b/>
        <color theme="1"/>
        <sz val="11.0"/>
      </rPr>
      <t xml:space="preserve"> MIXED DEEP INCUT AND SLOPERS</t>
    </r>
  </si>
  <si>
    <t>UBE 10</t>
  </si>
  <si>
    <r>
      <rPr>
        <rFont val="Calibri"/>
        <b/>
        <color theme="1"/>
        <sz val="14.0"/>
      </rPr>
      <t xml:space="preserve">XL SET D     </t>
    </r>
    <r>
      <rPr>
        <rFont val="Calibri"/>
        <b/>
        <color theme="1"/>
        <sz val="11.0"/>
      </rPr>
      <t xml:space="preserve"> MIXED DEEP INCUT AND SLOPERS 30 CM</t>
    </r>
  </si>
  <si>
    <t>UBE 15</t>
  </si>
  <si>
    <r>
      <rPr>
        <rFont val="Calibri"/>
        <b/>
        <color theme="1"/>
        <sz val="14.0"/>
      </rPr>
      <t xml:space="preserve">XXL SET E     </t>
    </r>
    <r>
      <rPr>
        <rFont val="Calibri"/>
        <b/>
        <color theme="1"/>
        <sz val="11.0"/>
      </rPr>
      <t xml:space="preserve"> MIXED DEEP INCUTS AND SLOPERS 40CM </t>
    </r>
  </si>
  <si>
    <t>UBE 20</t>
  </si>
  <si>
    <t>BLOCKERS (MIXED EDGES)</t>
  </si>
  <si>
    <t>SET A1 FOR BLOCKING SET A ECLIPSE</t>
  </si>
  <si>
    <t>UBE 25</t>
  </si>
  <si>
    <t>SET A2 FOR BLOCKING SET A ECLIPSE</t>
  </si>
  <si>
    <t>UBE 30</t>
  </si>
  <si>
    <t>SET B1 FOR BLOCKING SET B ECLIPSE</t>
  </si>
  <si>
    <t>UBE 35</t>
  </si>
  <si>
    <t>SET B2 FOR BLOCKING SET B ECLIPSE</t>
  </si>
  <si>
    <t>UBE 40</t>
  </si>
  <si>
    <t>SET C1 FOR BLOCKING SET C ECLIPSE</t>
  </si>
  <si>
    <t>UBE 45</t>
  </si>
  <si>
    <t>SET C2 FOR BLOCKING SET C ECLIPSE</t>
  </si>
  <si>
    <t>UBE 50</t>
  </si>
  <si>
    <t>SET D1 FOR BLOCKING SET D ECLIPSE</t>
  </si>
  <si>
    <t>UBE 55</t>
  </si>
  <si>
    <t>SET D2 FOR BLOCKING SET D ECLIPSE</t>
  </si>
  <si>
    <t>UBE 60</t>
  </si>
  <si>
    <t>SET E1 FOR BLOCKING SET E ECLIPSE</t>
  </si>
  <si>
    <t>UBE 65</t>
  </si>
  <si>
    <t>SET E2 FOR BLOCKING SET E ECLIPSE</t>
  </si>
  <si>
    <t>UBE 70</t>
  </si>
  <si>
    <t>TERRORS</t>
  </si>
  <si>
    <t>COST ex TAX</t>
  </si>
  <si>
    <t>XS</t>
  </si>
  <si>
    <t>UN 01</t>
  </si>
  <si>
    <t>SMALL 1</t>
  </si>
  <si>
    <t>UN 02</t>
  </si>
  <si>
    <t>LARGE 1</t>
  </si>
  <si>
    <t>UN 03</t>
  </si>
  <si>
    <t>LARGE 2</t>
  </si>
  <si>
    <t>UN 07</t>
  </si>
  <si>
    <t>XL 1</t>
  </si>
  <si>
    <t>UN 04</t>
  </si>
  <si>
    <t>XL 2</t>
  </si>
  <si>
    <t>UN 08</t>
  </si>
  <si>
    <t>XL 3</t>
  </si>
  <si>
    <t>UN 09</t>
  </si>
  <si>
    <t>XL 4</t>
  </si>
  <si>
    <t>UN 10</t>
  </si>
  <si>
    <t>XL 5</t>
  </si>
  <si>
    <t>UN 11</t>
  </si>
  <si>
    <t>SM PLATES</t>
  </si>
  <si>
    <t>UN 05</t>
  </si>
  <si>
    <t>MEDIUM PLATES</t>
  </si>
  <si>
    <t>UN 06</t>
  </si>
  <si>
    <t>XXXL 1</t>
  </si>
  <si>
    <t>UN 12</t>
  </si>
  <si>
    <t>XXXL 2</t>
  </si>
  <si>
    <t>UN 13</t>
  </si>
  <si>
    <t>COMMAS</t>
  </si>
  <si>
    <t xml:space="preserve">COMMAS DUAL TEX </t>
  </si>
  <si>
    <t>DUAL TEX FOOT JIBS</t>
  </si>
  <si>
    <t>UC 02</t>
  </si>
  <si>
    <t>DUAL TEX SMALL FLARED JIBS</t>
  </si>
  <si>
    <t>UC 11</t>
  </si>
  <si>
    <t>DUAL TEX SMALL FLARED EDGES 1</t>
  </si>
  <si>
    <t>UC 16</t>
  </si>
  <si>
    <t>DUAL TEX SMALL FLARED EDGES 2</t>
  </si>
  <si>
    <t>UC 17</t>
  </si>
  <si>
    <t>LARGE EDGE DT</t>
  </si>
  <si>
    <t>UC 51</t>
  </si>
  <si>
    <t>XL EDGE 2 DUAL TEX</t>
  </si>
  <si>
    <t>UC 56</t>
  </si>
  <si>
    <t>XL EDGE 3 DUAL TEX</t>
  </si>
  <si>
    <t>UC 57</t>
  </si>
  <si>
    <t xml:space="preserve">COMMAS NORMAL TEX </t>
  </si>
  <si>
    <t>XS FEET</t>
  </si>
  <si>
    <t>UC 01</t>
  </si>
  <si>
    <t>SMALL FEET</t>
  </si>
  <si>
    <t>UC O5</t>
  </si>
  <si>
    <t>SMALL JIBS</t>
  </si>
  <si>
    <t>UC 10</t>
  </si>
  <si>
    <t>SMALL EDGE</t>
  </si>
  <si>
    <t>UC 15</t>
  </si>
  <si>
    <t>SMALL DEEP EDGE</t>
  </si>
  <si>
    <t>UC 20</t>
  </si>
  <si>
    <t>SMALL SCOOP EDGE</t>
  </si>
  <si>
    <t>UC 25</t>
  </si>
  <si>
    <t>MEDIUM EDGE 1</t>
  </si>
  <si>
    <t>UC 30</t>
  </si>
  <si>
    <t>MEDIUM EDGE 2</t>
  </si>
  <si>
    <t>UC 35</t>
  </si>
  <si>
    <t>LARGE EDGE 1</t>
  </si>
  <si>
    <t>UC 40</t>
  </si>
  <si>
    <t>LARGE EDGE 2</t>
  </si>
  <si>
    <t>UC 45</t>
  </si>
  <si>
    <t>LARGE EDGE 3</t>
  </si>
  <si>
    <t>UC 50</t>
  </si>
  <si>
    <t>XL SLOPERS</t>
  </si>
  <si>
    <t>UC 55</t>
  </si>
  <si>
    <t>XXL SLOPERS</t>
  </si>
  <si>
    <t>UC 60</t>
  </si>
  <si>
    <t>XXXL SLOPERS</t>
  </si>
  <si>
    <t>UC 65</t>
  </si>
  <si>
    <t>MEDIUM FEET/INCUT</t>
  </si>
  <si>
    <t>UCPE 05</t>
  </si>
  <si>
    <t>LARGE JUGS 1</t>
  </si>
  <si>
    <t>UCPE 10</t>
  </si>
  <si>
    <t xml:space="preserve">LARGE ROUND SHALLOW </t>
  </si>
  <si>
    <t>UCPE 20</t>
  </si>
  <si>
    <t>LARGE ROUND INCUT</t>
  </si>
  <si>
    <t>UCPE 15</t>
  </si>
  <si>
    <t>LARGE JUGS 2</t>
  </si>
  <si>
    <t>UCPE 25</t>
  </si>
  <si>
    <t xml:space="preserve">HARD BOILED PU </t>
  </si>
  <si>
    <t xml:space="preserve">SIZE </t>
  </si>
  <si>
    <t>10 cm</t>
  </si>
  <si>
    <t>M 1          Good Feet</t>
  </si>
  <si>
    <t>UHB 01</t>
  </si>
  <si>
    <t>19cm</t>
  </si>
  <si>
    <t>Large 1     Shallow scoops and edges</t>
  </si>
  <si>
    <t>UHB 10</t>
  </si>
  <si>
    <t>Large 2  Pinches</t>
  </si>
  <si>
    <t>UHB 11</t>
  </si>
  <si>
    <t>30 cm</t>
  </si>
  <si>
    <t>XL 1   Shallow and Deep edge</t>
  </si>
  <si>
    <t>UHB 15</t>
  </si>
  <si>
    <t>XL 2   Hard Scoops</t>
  </si>
  <si>
    <t>UHB 16</t>
  </si>
  <si>
    <t>XL 3  Rounded incuts</t>
  </si>
  <si>
    <t>UHB 17</t>
  </si>
  <si>
    <t>XL 4    Round Scoop</t>
  </si>
  <si>
    <t>UHB 18</t>
  </si>
  <si>
    <t>XL 5 Rounded Juggy</t>
  </si>
  <si>
    <t>UHB 19</t>
  </si>
  <si>
    <t>XL 6       Hard Pinches</t>
  </si>
  <si>
    <t>UHB 20</t>
  </si>
  <si>
    <t>XL 7         Pinches</t>
  </si>
  <si>
    <t>UHB 21</t>
  </si>
  <si>
    <t>XL 8       Hard Pinches</t>
  </si>
  <si>
    <t>UHB 22</t>
  </si>
  <si>
    <t>40 cm</t>
  </si>
  <si>
    <t>XL+ 9    Good Edges</t>
  </si>
  <si>
    <t>UHB 30</t>
  </si>
  <si>
    <t>XL+ 10    Rounded Incut</t>
  </si>
  <si>
    <t>UHB 31</t>
  </si>
  <si>
    <t>XL+ 11    Hard Scoops</t>
  </si>
  <si>
    <t>UHB 32</t>
  </si>
  <si>
    <t>XL+ 12  Round Juggy Incuts</t>
  </si>
  <si>
    <t>UHB 33</t>
  </si>
  <si>
    <t>XL+ 13   Hard Scoops</t>
  </si>
  <si>
    <t>UHB 34</t>
  </si>
  <si>
    <t>UHB 100</t>
  </si>
  <si>
    <t>UHB 101</t>
  </si>
  <si>
    <t>UHB 102</t>
  </si>
  <si>
    <t>UHB 103</t>
  </si>
  <si>
    <t>UHB 104</t>
  </si>
  <si>
    <t>UHB 105</t>
  </si>
  <si>
    <t>DRIFTS</t>
  </si>
  <si>
    <t>PHOTOS</t>
  </si>
  <si>
    <t>SM FEET 1</t>
  </si>
  <si>
    <t>UD 01</t>
  </si>
  <si>
    <t>TECH FEET</t>
  </si>
  <si>
    <t>UD 04</t>
  </si>
  <si>
    <t>SM FEET 2</t>
  </si>
  <si>
    <t>UD 05</t>
  </si>
  <si>
    <t>UD 06</t>
  </si>
  <si>
    <t>LG FEET</t>
  </si>
  <si>
    <t>UD 07</t>
  </si>
  <si>
    <t>FEINT EDGES</t>
  </si>
  <si>
    <t>UD 08</t>
  </si>
  <si>
    <t>XS EDGES</t>
  </si>
  <si>
    <t>UD 09</t>
  </si>
  <si>
    <t xml:space="preserve">PLATE EDGES </t>
  </si>
  <si>
    <t>UD 10</t>
  </si>
  <si>
    <t xml:space="preserve">LG EDGES </t>
  </si>
  <si>
    <t>UD 11</t>
  </si>
  <si>
    <t>LG INCUTS</t>
  </si>
  <si>
    <t>UD 12</t>
  </si>
  <si>
    <t>LARGE PINCH</t>
  </si>
  <si>
    <t>UD 13</t>
  </si>
  <si>
    <t>SM EDGES 1</t>
  </si>
  <si>
    <t>UD 15</t>
  </si>
  <si>
    <t>SM EDGES 2</t>
  </si>
  <si>
    <t>UD 16</t>
  </si>
  <si>
    <t>MED EDGES</t>
  </si>
  <si>
    <t>UD 17</t>
  </si>
  <si>
    <t>RIB INCUTS</t>
  </si>
  <si>
    <t>UD 18</t>
  </si>
  <si>
    <t>FLAT EDGES</t>
  </si>
  <si>
    <t>UD 19</t>
  </si>
  <si>
    <t>SM JUGS 1</t>
  </si>
  <si>
    <t>UD 20</t>
  </si>
  <si>
    <t>MED JUGS 1</t>
  </si>
  <si>
    <t>UD 25</t>
  </si>
  <si>
    <t>MED JUGS 2</t>
  </si>
  <si>
    <t>UD 30</t>
  </si>
  <si>
    <t>LG JUGS 1</t>
  </si>
  <si>
    <t>UD 35</t>
  </si>
  <si>
    <t>LG JUGS 2</t>
  </si>
  <si>
    <t>UD 36</t>
  </si>
  <si>
    <t>XL JUGS 1</t>
  </si>
  <si>
    <t>UD 40</t>
  </si>
  <si>
    <t>XXL JUGS 1</t>
  </si>
  <si>
    <t>UD 45</t>
  </si>
  <si>
    <t>XXXL JUGS 1</t>
  </si>
  <si>
    <t>UD 50</t>
  </si>
  <si>
    <t>XL ROUND LEDGE</t>
  </si>
  <si>
    <t>UD 41</t>
  </si>
  <si>
    <t>MIXED LEDGE</t>
  </si>
  <si>
    <t>UD 42</t>
  </si>
  <si>
    <t>XL INCUT LEDGE</t>
  </si>
  <si>
    <t>UD 43</t>
  </si>
  <si>
    <t>4XL FEATURE</t>
  </si>
  <si>
    <t>UD 70</t>
  </si>
  <si>
    <t>MONSTER 2</t>
  </si>
  <si>
    <t>UD 66</t>
  </si>
  <si>
    <t>MONSTER 4</t>
  </si>
  <si>
    <t>UD 68</t>
  </si>
  <si>
    <t>FANGS PU</t>
  </si>
  <si>
    <r>
      <rPr>
        <rFont val="Calibri"/>
        <b/>
        <color theme="1"/>
        <sz val="15.0"/>
      </rPr>
      <t xml:space="preserve">XXXS       </t>
    </r>
    <r>
      <rPr>
        <rFont val="Calibri"/>
        <b/>
        <color theme="1"/>
        <sz val="11.0"/>
      </rPr>
      <t>TINY INCUT EDGES</t>
    </r>
  </si>
  <si>
    <r>
      <rPr>
        <rFont val="Calibri"/>
        <b/>
        <color theme="1"/>
        <sz val="15.0"/>
      </rPr>
      <t xml:space="preserve">XXS 1 </t>
    </r>
    <r>
      <rPr>
        <rFont val="Calibri"/>
        <b/>
        <color theme="1"/>
        <sz val="11.0"/>
      </rPr>
      <t xml:space="preserve">        JUST THERE POSITIVE EDGES</t>
    </r>
  </si>
  <si>
    <t>UC 03</t>
  </si>
  <si>
    <r>
      <rPr>
        <rFont val="Calibri"/>
        <b/>
        <color theme="1"/>
        <sz val="15.0"/>
      </rPr>
      <t>XXS 2</t>
    </r>
    <r>
      <rPr>
        <rFont val="Calibri"/>
        <b/>
        <color theme="1"/>
        <sz val="11.0"/>
      </rPr>
      <t xml:space="preserve">         SLOPING EDGES</t>
    </r>
  </si>
  <si>
    <t>UC 04</t>
  </si>
  <si>
    <r>
      <rPr>
        <rFont val="Calibri"/>
        <b/>
        <color theme="1"/>
        <sz val="15.0"/>
      </rPr>
      <t xml:space="preserve">SMALL </t>
    </r>
    <r>
      <rPr>
        <rFont val="Calibri"/>
        <b/>
        <color theme="1"/>
        <sz val="11.0"/>
      </rPr>
      <t>MIXED INCUT AND SLOPING EDGES</t>
    </r>
  </si>
  <si>
    <t>UC 70</t>
  </si>
  <si>
    <r>
      <rPr>
        <rFont val="Calibri"/>
        <b/>
        <color theme="1"/>
        <sz val="15.0"/>
      </rPr>
      <t xml:space="preserve">MEDIUM </t>
    </r>
    <r>
      <rPr>
        <rFont val="Calibri"/>
        <b/>
        <color theme="1"/>
        <sz val="11.0"/>
      </rPr>
      <t>MIXED INCUT AND SLOPING EDGES</t>
    </r>
  </si>
  <si>
    <t>UC 71</t>
  </si>
  <si>
    <t>UC 72</t>
  </si>
  <si>
    <t>UC 73</t>
  </si>
  <si>
    <t>XL</t>
  </si>
  <si>
    <t>UC 74</t>
  </si>
  <si>
    <t>XXL</t>
  </si>
  <si>
    <t>UC 75</t>
  </si>
  <si>
    <t>Fiberglass</t>
  </si>
  <si>
    <t>MACROS Edge</t>
  </si>
  <si>
    <t>UCF 85 - 90</t>
  </si>
  <si>
    <t>MACROS Slopes COMP</t>
  </si>
  <si>
    <t>FULL Pack MACROS</t>
  </si>
  <si>
    <t>11% discount</t>
  </si>
  <si>
    <t>LOAVES</t>
  </si>
  <si>
    <t>FOOT JIBS</t>
  </si>
  <si>
    <t>UL 01</t>
  </si>
  <si>
    <t>UL 02</t>
  </si>
  <si>
    <t>SM DEEP FEET</t>
  </si>
  <si>
    <t>UL 03</t>
  </si>
  <si>
    <t>MICRO JIBS 1</t>
  </si>
  <si>
    <t>UL 04</t>
  </si>
  <si>
    <t>THIN JIBS SM</t>
  </si>
  <si>
    <t>UL 05</t>
  </si>
  <si>
    <t>THIN JIBS LG</t>
  </si>
  <si>
    <t>UL 06</t>
  </si>
  <si>
    <r>
      <rPr>
        <rFont val="Calibri"/>
        <b/>
        <color theme="1"/>
        <sz val="11.0"/>
      </rPr>
      <t>XS MIXED EDGES</t>
    </r>
    <r>
      <rPr>
        <rFont val="Calibri"/>
        <b/>
        <color theme="1"/>
        <sz val="10.0"/>
      </rPr>
      <t xml:space="preserve"> </t>
    </r>
    <r>
      <rPr>
        <rFont val="Calibri"/>
        <b/>
        <i/>
        <color theme="1"/>
        <sz val="9.0"/>
      </rPr>
      <t>(SLOPERS TO INCUTS)</t>
    </r>
  </si>
  <si>
    <t>UL 10</t>
  </si>
  <si>
    <t>LG DEEP FEET</t>
  </si>
  <si>
    <t>UL 11</t>
  </si>
  <si>
    <r>
      <rPr>
        <rFont val="Calibri"/>
        <b/>
        <color theme="1"/>
        <sz val="11.0"/>
      </rPr>
      <t xml:space="preserve">SMALL MIXED EDGES  </t>
    </r>
    <r>
      <rPr>
        <rFont val="Calibri"/>
        <b/>
        <i/>
        <color theme="1"/>
        <sz val="9.0"/>
      </rPr>
      <t>(SLOPERS TO INCUTS)</t>
    </r>
  </si>
  <si>
    <t>UL 15</t>
  </si>
  <si>
    <t>XS PATCH</t>
  </si>
  <si>
    <t>UL 16</t>
  </si>
  <si>
    <t>SMALL JUGS</t>
  </si>
  <si>
    <t>UL 17</t>
  </si>
  <si>
    <r>
      <rPr>
        <rFont val="Calibri"/>
        <b/>
        <color theme="1"/>
        <sz val="11.0"/>
      </rPr>
      <t xml:space="preserve">MEDIUM EDGES  </t>
    </r>
    <r>
      <rPr>
        <rFont val="Calibri"/>
        <b/>
        <i/>
        <color theme="1"/>
        <sz val="9.0"/>
      </rPr>
      <t>(SLOPERS TO INCUTS)</t>
    </r>
  </si>
  <si>
    <t>UL 20</t>
  </si>
  <si>
    <t>MEDIUM PATCHES</t>
  </si>
  <si>
    <t>UL 22</t>
  </si>
  <si>
    <r>
      <rPr>
        <rFont val="Calibri"/>
        <b/>
        <color theme="1"/>
        <sz val="11.0"/>
      </rPr>
      <t xml:space="preserve">LARGE MIXED EDGES  </t>
    </r>
    <r>
      <rPr>
        <rFont val="Calibri"/>
        <b/>
        <i/>
        <color theme="1"/>
        <sz val="9.0"/>
      </rPr>
      <t>(SLOPERS TO INCUTS)</t>
    </r>
  </si>
  <si>
    <t>UL 25</t>
  </si>
  <si>
    <t>LG PATCH</t>
  </si>
  <si>
    <t>UL 26</t>
  </si>
  <si>
    <r>
      <rPr>
        <rFont val="Calibri"/>
        <b/>
        <color theme="1"/>
        <sz val="11.0"/>
      </rPr>
      <t xml:space="preserve">XL MIXED EDGES FROM  </t>
    </r>
    <r>
      <rPr>
        <rFont val="Calibri"/>
        <b/>
        <i/>
        <color theme="1"/>
        <sz val="9.0"/>
      </rPr>
      <t>(SLOPERS TO INCUTS)</t>
    </r>
  </si>
  <si>
    <t>UL 30</t>
  </si>
  <si>
    <t>XXL 1 INCUT EDGES</t>
  </si>
  <si>
    <t>UL 35</t>
  </si>
  <si>
    <r>
      <rPr>
        <rFont val="Calibri"/>
        <b/>
        <color theme="1"/>
        <sz val="11.0"/>
      </rPr>
      <t xml:space="preserve">XXL 2 </t>
    </r>
    <r>
      <rPr>
        <rFont val="Calibri"/>
        <b/>
        <i/>
        <color theme="1"/>
        <sz val="9.0"/>
      </rPr>
      <t>SLOPING EDGES</t>
    </r>
  </si>
  <si>
    <t>UL 40</t>
  </si>
  <si>
    <r>
      <rPr>
        <rFont val="Calibri"/>
        <b/>
        <color theme="1"/>
        <sz val="11.0"/>
      </rPr>
      <t xml:space="preserve">XXXL MIXED </t>
    </r>
    <r>
      <rPr>
        <rFont val="Calibri"/>
        <b/>
        <i/>
        <color theme="1"/>
        <sz val="9.0"/>
      </rPr>
      <t xml:space="preserve"> (SLOPERS TO INCUTS)</t>
    </r>
  </si>
  <si>
    <t>UL 45</t>
  </si>
  <si>
    <t>4 XL 1       JUGS</t>
  </si>
  <si>
    <t>UL 50</t>
  </si>
  <si>
    <t>4 XL 2         ROUNDED JUGS</t>
  </si>
  <si>
    <t>UL 55</t>
  </si>
  <si>
    <t>4 XL 3          ROUNDED JUGS</t>
  </si>
  <si>
    <t>UL 60</t>
  </si>
  <si>
    <t>4 XL 4         ROUNDED EDGES</t>
  </si>
  <si>
    <t>UL 65</t>
  </si>
  <si>
    <t>ROCK LINE</t>
  </si>
  <si>
    <t>DUAL MEDIUM FEET</t>
  </si>
  <si>
    <t>URL 08</t>
  </si>
  <si>
    <t>DUAL MEDIUM EDGE</t>
  </si>
  <si>
    <t>URL 15</t>
  </si>
  <si>
    <t>URL 01</t>
  </si>
  <si>
    <t>URL 80</t>
  </si>
  <si>
    <t>URL 02</t>
  </si>
  <si>
    <t>URL 05</t>
  </si>
  <si>
    <t>MED JIBS</t>
  </si>
  <si>
    <t>URL 06</t>
  </si>
  <si>
    <t>URL 07</t>
  </si>
  <si>
    <t>MED FEET</t>
  </si>
  <si>
    <t>URL 09</t>
  </si>
  <si>
    <t>SMALL EDGES</t>
  </si>
  <si>
    <t>URL 10</t>
  </si>
  <si>
    <t>SM DEEP EDGE</t>
  </si>
  <si>
    <t>URL 11</t>
  </si>
  <si>
    <t>SMALL EDGE 2</t>
  </si>
  <si>
    <t>URL 12</t>
  </si>
  <si>
    <t>SM STEEP EDGE</t>
  </si>
  <si>
    <t>URL 13</t>
  </si>
  <si>
    <t>LG FIN EDGE</t>
  </si>
  <si>
    <t>URL 14</t>
  </si>
  <si>
    <t>URL 20</t>
  </si>
  <si>
    <t>MED EDGE 2</t>
  </si>
  <si>
    <t>URL 21</t>
  </si>
  <si>
    <t>MED EDGE 3</t>
  </si>
  <si>
    <t>URL 22</t>
  </si>
  <si>
    <t>MED LONG EDGE</t>
  </si>
  <si>
    <t>URL 24</t>
  </si>
  <si>
    <t>MEDIUM FLAKES</t>
  </si>
  <si>
    <t>URL 25</t>
  </si>
  <si>
    <t>LG SLOPE EDGE</t>
  </si>
  <si>
    <t>URL 30</t>
  </si>
  <si>
    <t>LG EDGE 1</t>
  </si>
  <si>
    <t>URL 31</t>
  </si>
  <si>
    <t>LG LONG EDGE</t>
  </si>
  <si>
    <t>URL 33</t>
  </si>
  <si>
    <t>LG LOW PINCH</t>
  </si>
  <si>
    <t>URL 34</t>
  </si>
  <si>
    <t>LG FLAKES</t>
  </si>
  <si>
    <t>URL 35</t>
  </si>
  <si>
    <t>XL PINCHES</t>
  </si>
  <si>
    <t>URL 40</t>
  </si>
  <si>
    <t>XL PINCHES 1</t>
  </si>
  <si>
    <t>URL 41</t>
  </si>
  <si>
    <t>XL SLOPE EDGE</t>
  </si>
  <si>
    <t>URL 50</t>
  </si>
  <si>
    <t>XL LONG EDGE</t>
  </si>
  <si>
    <t>URL 51</t>
  </si>
  <si>
    <t>SM JUGS</t>
  </si>
  <si>
    <t>URL 60</t>
  </si>
  <si>
    <t>URL 61</t>
  </si>
  <si>
    <t>URL 62</t>
  </si>
  <si>
    <t xml:space="preserve">LG JUGS </t>
  </si>
  <si>
    <t>URL 65</t>
  </si>
  <si>
    <t>URL 66</t>
  </si>
  <si>
    <t>SMOOTH LINE POCKETS</t>
  </si>
  <si>
    <t>POCKETS</t>
  </si>
  <si>
    <t>FEET</t>
  </si>
  <si>
    <t>UP 01</t>
  </si>
  <si>
    <t>SMALL</t>
  </si>
  <si>
    <t>UP 05</t>
  </si>
  <si>
    <t>MEDIUM</t>
  </si>
  <si>
    <t>UP 10</t>
  </si>
  <si>
    <t>LARGE SLOTS</t>
  </si>
  <si>
    <t>UP 15</t>
  </si>
  <si>
    <t xml:space="preserve">LARGE </t>
  </si>
  <si>
    <t>UP 20</t>
  </si>
  <si>
    <t>XL SLOTS</t>
  </si>
  <si>
    <t>UP 25</t>
  </si>
  <si>
    <t xml:space="preserve">XL </t>
  </si>
  <si>
    <t>UP 30</t>
  </si>
  <si>
    <t>UP 31</t>
  </si>
  <si>
    <t>UP 32</t>
  </si>
  <si>
    <t>FEATURE 1</t>
  </si>
  <si>
    <t>UP 40</t>
  </si>
  <si>
    <t>FEATURE 2</t>
  </si>
  <si>
    <t>UP 41</t>
  </si>
  <si>
    <t>FEATURE 3</t>
  </si>
  <si>
    <t>UP 42</t>
  </si>
  <si>
    <t>SLOPERS</t>
  </si>
  <si>
    <t>USL 01</t>
  </si>
  <si>
    <t>SMALL FOOT SPIKES</t>
  </si>
  <si>
    <t>USL 02</t>
  </si>
  <si>
    <t>USL 03</t>
  </si>
  <si>
    <t>USL 04</t>
  </si>
  <si>
    <t>MED SLOPER FEET</t>
  </si>
  <si>
    <t>USL 05</t>
  </si>
  <si>
    <t>MEDIUM FEET</t>
  </si>
  <si>
    <t>USL 06</t>
  </si>
  <si>
    <t>LARGE FEET</t>
  </si>
  <si>
    <t>USL 07</t>
  </si>
  <si>
    <t>SMALL FLAT EDGES</t>
  </si>
  <si>
    <t>USL 10</t>
  </si>
  <si>
    <t>SMALL ROUND INCUTS</t>
  </si>
  <si>
    <t>USL 11</t>
  </si>
  <si>
    <t>SMALL FLARED INCUTS</t>
  </si>
  <si>
    <t>USL 12</t>
  </si>
  <si>
    <t>MED FLAT EDGES</t>
  </si>
  <si>
    <t>USL 15</t>
  </si>
  <si>
    <t>MEDIUM LOW PINCH</t>
  </si>
  <si>
    <t>USL 16</t>
  </si>
  <si>
    <t>MEDIUM INCUT EDGE</t>
  </si>
  <si>
    <t>USL 17</t>
  </si>
  <si>
    <t>LG ROUND EDGE</t>
  </si>
  <si>
    <t>USL 20</t>
  </si>
  <si>
    <t>LG DIMPLE EDGE</t>
  </si>
  <si>
    <t>USL 21</t>
  </si>
  <si>
    <t>LG ROUND LEDGE</t>
  </si>
  <si>
    <t>USL 60</t>
  </si>
  <si>
    <t>USL 30</t>
  </si>
  <si>
    <t>USL 40</t>
  </si>
  <si>
    <t>LARGE PINCHES</t>
  </si>
  <si>
    <t>USL 79</t>
  </si>
  <si>
    <t xml:space="preserve">USL 80 </t>
  </si>
  <si>
    <t>XXL PINCHES</t>
  </si>
  <si>
    <t>USL 85</t>
  </si>
  <si>
    <t>MEDIUM JUGS</t>
  </si>
  <si>
    <t>USL 52</t>
  </si>
  <si>
    <t>USL 50</t>
  </si>
  <si>
    <t>USL 51</t>
  </si>
  <si>
    <t>XL JUGS 1      ROOF</t>
  </si>
  <si>
    <t>USL 55</t>
  </si>
  <si>
    <t>XL JUGS 2      ROOF</t>
  </si>
  <si>
    <t>USL 56</t>
  </si>
  <si>
    <t>XXL JUGS 1     ROOF</t>
  </si>
  <si>
    <t>USL 57</t>
  </si>
  <si>
    <t>XXXL JUGS 1 ROOF</t>
  </si>
  <si>
    <t>USL 58</t>
  </si>
  <si>
    <t>XL LEDGES 1</t>
  </si>
  <si>
    <t>USL 65</t>
  </si>
  <si>
    <t>XL LEDGES 2</t>
  </si>
  <si>
    <t>USL 66</t>
  </si>
  <si>
    <t>XXL LEDGES 1</t>
  </si>
  <si>
    <t>USL 70</t>
  </si>
  <si>
    <t>XXL LEDGES 2</t>
  </si>
  <si>
    <t>USL 71</t>
  </si>
  <si>
    <t>XXXL LEDGES 1</t>
  </si>
  <si>
    <t>USL 75</t>
  </si>
  <si>
    <r>
      <rPr>
        <rFont val="Calibri"/>
        <b/>
        <color theme="1"/>
        <sz val="26.0"/>
      </rPr>
      <t>FIBERGLASS</t>
    </r>
    <r>
      <rPr>
        <rFont val="Calibri"/>
        <b/>
        <color theme="1"/>
        <sz val="26.0"/>
      </rPr>
      <t xml:space="preserve"> DUAL TEX</t>
    </r>
  </si>
  <si>
    <t>HOLD SIZE</t>
  </si>
  <si>
    <t>UNITS</t>
  </si>
  <si>
    <t xml:space="preserve">Pack of 8 Pinches. </t>
  </si>
  <si>
    <t>Pinch 1</t>
  </si>
  <si>
    <t>40 x 28</t>
  </si>
  <si>
    <t>W1</t>
  </si>
  <si>
    <t>Pinch 2</t>
  </si>
  <si>
    <t>40 x 20 x 13</t>
  </si>
  <si>
    <t>W2</t>
  </si>
  <si>
    <t>Pinch 3</t>
  </si>
  <si>
    <t>40 x 20 x 10</t>
  </si>
  <si>
    <t>W3</t>
  </si>
  <si>
    <t>Pinch 4</t>
  </si>
  <si>
    <t>38 x 20 x 8</t>
  </si>
  <si>
    <t>W4</t>
  </si>
  <si>
    <t>Pinch 5</t>
  </si>
  <si>
    <t>W5</t>
  </si>
  <si>
    <t>Pinch 6</t>
  </si>
  <si>
    <t>W6</t>
  </si>
  <si>
    <t>Pinch 7</t>
  </si>
  <si>
    <t>W7</t>
  </si>
  <si>
    <t>Pinch 8</t>
  </si>
  <si>
    <t>W8</t>
  </si>
  <si>
    <t xml:space="preserve">Pack of  13 Commas </t>
  </si>
  <si>
    <t>10% discount</t>
  </si>
  <si>
    <t>Comma Sloper 1 Juggy Sloper</t>
  </si>
  <si>
    <t>48 x 24 x 13</t>
  </si>
  <si>
    <t>C1</t>
  </si>
  <si>
    <t>Comma Sloper 2 Edge</t>
  </si>
  <si>
    <t>50 x 24 x 13</t>
  </si>
  <si>
    <t>C2</t>
  </si>
  <si>
    <t>Comma Sloper 3  Rounded Jug</t>
  </si>
  <si>
    <t>90 x 40 x 16</t>
  </si>
  <si>
    <t>C3</t>
  </si>
  <si>
    <t>Comma Sloper 4 Sloping Jug</t>
  </si>
  <si>
    <t>80 x 38 x 18</t>
  </si>
  <si>
    <t>C4</t>
  </si>
  <si>
    <t>Comma Sloper 5  Rounded Jug</t>
  </si>
  <si>
    <t>83 x 35 x 18</t>
  </si>
  <si>
    <t>C5</t>
  </si>
  <si>
    <t>Comma Sloper 6 Round Sloper</t>
  </si>
  <si>
    <t>82 X 30 X 12</t>
  </si>
  <si>
    <t>C6</t>
  </si>
  <si>
    <t>Comma Sloper 7 Rounded Jug</t>
  </si>
  <si>
    <t>80 X 36 X 14</t>
  </si>
  <si>
    <t>C7</t>
  </si>
  <si>
    <t>Comma Sloper 8  Hard Sloper</t>
  </si>
  <si>
    <t>78 x 40 x 12</t>
  </si>
  <si>
    <t>C8</t>
  </si>
  <si>
    <t>Comma Sloper 9 Flat Sloper</t>
  </si>
  <si>
    <t>50 x 24,5 x13</t>
  </si>
  <si>
    <t>C9</t>
  </si>
  <si>
    <t>Comma Sloper 10  Hard Edge</t>
  </si>
  <si>
    <t>74 x 30 x 13</t>
  </si>
  <si>
    <t>C10</t>
  </si>
  <si>
    <t>Comma Sloper 11  Sloper</t>
  </si>
  <si>
    <t>70 x 30 x 12</t>
  </si>
  <si>
    <t>C11</t>
  </si>
  <si>
    <t>Comma Sloper 12  Edge</t>
  </si>
  <si>
    <t>84 X 34 X 13</t>
  </si>
  <si>
    <t>C12</t>
  </si>
  <si>
    <t>Comma Sloper 13 Edge</t>
  </si>
  <si>
    <t>C13</t>
  </si>
  <si>
    <t>Pack of 18 FANGS</t>
  </si>
  <si>
    <t>12% discount</t>
  </si>
  <si>
    <t>Fang Edge 1</t>
  </si>
  <si>
    <t>49 X 10 X 6</t>
  </si>
  <si>
    <t>T1</t>
  </si>
  <si>
    <t>Fang Edge 2</t>
  </si>
  <si>
    <t>63 X 10 X 8</t>
  </si>
  <si>
    <t>T2</t>
  </si>
  <si>
    <t>Fang Edge 3</t>
  </si>
  <si>
    <t>78 X 11 X 9</t>
  </si>
  <si>
    <t>T3</t>
  </si>
  <si>
    <t>Fang Edge 4</t>
  </si>
  <si>
    <t>74 X 16 X 10</t>
  </si>
  <si>
    <t>T7</t>
  </si>
  <si>
    <t>Fang Edge 5</t>
  </si>
  <si>
    <t>95 X 21 X 15</t>
  </si>
  <si>
    <t>T6</t>
  </si>
  <si>
    <t>Fang Edge 6</t>
  </si>
  <si>
    <t>104 X 22 X 12</t>
  </si>
  <si>
    <t>T4</t>
  </si>
  <si>
    <t>Fang Edge 7</t>
  </si>
  <si>
    <t>103 X 26 X 9</t>
  </si>
  <si>
    <t>T5</t>
  </si>
  <si>
    <t>Fang slope 1</t>
  </si>
  <si>
    <t>43 X 12 X 5</t>
  </si>
  <si>
    <t>T8</t>
  </si>
  <si>
    <t>Fang slope 2</t>
  </si>
  <si>
    <t>T9</t>
  </si>
  <si>
    <t>Fang slope 3</t>
  </si>
  <si>
    <t>T10</t>
  </si>
  <si>
    <t>Fang slope 4</t>
  </si>
  <si>
    <t>T11</t>
  </si>
  <si>
    <t>Fang slope 5</t>
  </si>
  <si>
    <t>65 X 17 X 5</t>
  </si>
  <si>
    <t>T12</t>
  </si>
  <si>
    <t>Fang slope 6</t>
  </si>
  <si>
    <t>67 X 19 X 6</t>
  </si>
  <si>
    <t>T13</t>
  </si>
  <si>
    <t>Fang slope 7</t>
  </si>
  <si>
    <t>83 X 25 X 9</t>
  </si>
  <si>
    <t>T14</t>
  </si>
  <si>
    <t>Fang slope 8</t>
  </si>
  <si>
    <t>82 X 25 X 9</t>
  </si>
  <si>
    <t>T16</t>
  </si>
  <si>
    <t>Fang slope 9</t>
  </si>
  <si>
    <t>96 X 27 X 6</t>
  </si>
  <si>
    <t>T15</t>
  </si>
  <si>
    <t>Fang slope 10</t>
  </si>
  <si>
    <t>120 X 26 X 11</t>
  </si>
  <si>
    <t>T17</t>
  </si>
  <si>
    <t>Fang slope 11</t>
  </si>
  <si>
    <t>123 X 28 X 9</t>
  </si>
  <si>
    <t>T18</t>
  </si>
  <si>
    <t>Pack of  15 Tango</t>
  </si>
  <si>
    <t xml:space="preserve">Tango 1 Sloper </t>
  </si>
  <si>
    <t xml:space="preserve"> 40 X 20 X 10</t>
  </si>
  <si>
    <t>S1,</t>
  </si>
  <si>
    <t xml:space="preserve">Tango 2 Sloper </t>
  </si>
  <si>
    <t>40 X 20 X 10</t>
  </si>
  <si>
    <t>S2</t>
  </si>
  <si>
    <t xml:space="preserve">Tango 3 Sloper </t>
  </si>
  <si>
    <t>30 X 22 X 10</t>
  </si>
  <si>
    <t>S3</t>
  </si>
  <si>
    <t xml:space="preserve">Tango 4 Sloper </t>
  </si>
  <si>
    <t>S4</t>
  </si>
  <si>
    <t xml:space="preserve">Tango 5 Sloper </t>
  </si>
  <si>
    <t>18 X 25 X 10</t>
  </si>
  <si>
    <t>S5, S6</t>
  </si>
  <si>
    <t xml:space="preserve">Tango 6 Sloper </t>
  </si>
  <si>
    <t>S6</t>
  </si>
  <si>
    <t xml:space="preserve">Tango 7 Sloper </t>
  </si>
  <si>
    <t xml:space="preserve">30 X 22 X 10 </t>
  </si>
  <si>
    <t>S7</t>
  </si>
  <si>
    <t xml:space="preserve">Tango 8 Sloper </t>
  </si>
  <si>
    <t>S8</t>
  </si>
  <si>
    <t xml:space="preserve">Tango 9 Sloper </t>
  </si>
  <si>
    <t>20 X 26 X 8</t>
  </si>
  <si>
    <t>S9</t>
  </si>
  <si>
    <t xml:space="preserve">Tango 10 Sloper </t>
  </si>
  <si>
    <t>S10</t>
  </si>
  <si>
    <t xml:space="preserve">Tango 11 Sloper </t>
  </si>
  <si>
    <t>30 X 19 X 10</t>
  </si>
  <si>
    <t>S11</t>
  </si>
  <si>
    <t xml:space="preserve">Tango 12 Sloper </t>
  </si>
  <si>
    <t>S12</t>
  </si>
  <si>
    <t>Tango Jug 13</t>
  </si>
  <si>
    <t>36 X 24 X 14</t>
  </si>
  <si>
    <t>Tango Jug 14</t>
  </si>
  <si>
    <t>S14</t>
  </si>
  <si>
    <t>Tango Jug 15</t>
  </si>
  <si>
    <t>S15</t>
  </si>
  <si>
    <t xml:space="preserve">THERMO PLASTIC MACROS DUAL TEX </t>
  </si>
  <si>
    <t>FLURO</t>
  </si>
  <si>
    <t>PRICE 1</t>
  </si>
  <si>
    <t xml:space="preserve">Dual </t>
  </si>
  <si>
    <t>PRICE 2</t>
  </si>
  <si>
    <t xml:space="preserve">White </t>
  </si>
  <si>
    <t>Big Pack DT Originals + Loaves  ( 18 thermoplastics)</t>
  </si>
  <si>
    <t>Pack 6 DT Original (thermoplastics)</t>
  </si>
  <si>
    <t>5% discount</t>
  </si>
  <si>
    <t>Original 1 Dual</t>
  </si>
  <si>
    <t>78 x 32 x 15</t>
  </si>
  <si>
    <t>UCF 01</t>
  </si>
  <si>
    <t>Original 2 Dual</t>
  </si>
  <si>
    <t>74 x 30 x 14</t>
  </si>
  <si>
    <t>UCF 02</t>
  </si>
  <si>
    <t>Original 3 Dual</t>
  </si>
  <si>
    <t>80 x 28 x 16</t>
  </si>
  <si>
    <t>UCF 03</t>
  </si>
  <si>
    <t>Original 4 Dual</t>
  </si>
  <si>
    <t>80 x 26 x 13</t>
  </si>
  <si>
    <t>UCF 04</t>
  </si>
  <si>
    <t>Original 5 Dual</t>
  </si>
  <si>
    <t>69 x 29 x 13</t>
  </si>
  <si>
    <t>UCF 05</t>
  </si>
  <si>
    <t>Original 6 Dual</t>
  </si>
  <si>
    <t>70 x 32 x 16</t>
  </si>
  <si>
    <t>UCF 06</t>
  </si>
  <si>
    <t>LOAVES DT Pack (12 macros )</t>
  </si>
  <si>
    <t>LOAVES 1 Dual</t>
  </si>
  <si>
    <t>78 x 20 x 10</t>
  </si>
  <si>
    <t>UCF 07</t>
  </si>
  <si>
    <t>LOAVES 2 Dual</t>
  </si>
  <si>
    <t>78 x 20 x 9</t>
  </si>
  <si>
    <t>UCF 08</t>
  </si>
  <si>
    <t>LOAVES 3 Dual</t>
  </si>
  <si>
    <t>80 x 19 x 8</t>
  </si>
  <si>
    <t>UCF 09</t>
  </si>
  <si>
    <t>LOAVES 4 Dual</t>
  </si>
  <si>
    <t>50 X 13 X 8</t>
  </si>
  <si>
    <t>UCF 80</t>
  </si>
  <si>
    <t>LOAVES 5 Dual</t>
  </si>
  <si>
    <t>UCF 81</t>
  </si>
  <si>
    <t>LOAVES 6 Dual</t>
  </si>
  <si>
    <t>UCF 82</t>
  </si>
  <si>
    <t>LOAVES 7 Dual</t>
  </si>
  <si>
    <t>68 x 17 x 8</t>
  </si>
  <si>
    <t>UCF 10</t>
  </si>
  <si>
    <t>LOAVES 8 Dual</t>
  </si>
  <si>
    <t>68 x 20 x 9</t>
  </si>
  <si>
    <t>UCF 11</t>
  </si>
  <si>
    <t>LOAVES 9 Dual</t>
  </si>
  <si>
    <t>68 x 19 x 10</t>
  </si>
  <si>
    <t>UCF 12</t>
  </si>
  <si>
    <t>LOAVES 10 Dual</t>
  </si>
  <si>
    <t>66 x 18 x 9</t>
  </si>
  <si>
    <t>UCF 13</t>
  </si>
  <si>
    <t>LOAVES 11 Dual</t>
  </si>
  <si>
    <t>80 x 20 x 10</t>
  </si>
  <si>
    <t>UCF 14</t>
  </si>
  <si>
    <t>LOAVES 12 Dual</t>
  </si>
  <si>
    <t>75 x 20 x 10</t>
  </si>
  <si>
    <t>UCF 15</t>
  </si>
  <si>
    <t xml:space="preserve">Angles DT Pack </t>
  </si>
  <si>
    <t xml:space="preserve">Angle 1 DUAL </t>
  </si>
  <si>
    <t>60 x 46 x 13</t>
  </si>
  <si>
    <t>UCF 16</t>
  </si>
  <si>
    <t xml:space="preserve">Angle 2 DUAL </t>
  </si>
  <si>
    <t>60 x 45 x 12</t>
  </si>
  <si>
    <t>UCF 17</t>
  </si>
  <si>
    <t xml:space="preserve">Angle 3 DUAL </t>
  </si>
  <si>
    <t>60 x 45 x 15</t>
  </si>
  <si>
    <t>UCF 18</t>
  </si>
  <si>
    <t xml:space="preserve">Angle 4 DUAL </t>
  </si>
  <si>
    <t>UCF 19</t>
  </si>
  <si>
    <t xml:space="preserve">Angle 5 DUAL </t>
  </si>
  <si>
    <t>UCF 20</t>
  </si>
  <si>
    <t xml:space="preserve">Angle 6 DUAL </t>
  </si>
  <si>
    <t>58 x 38 x 11</t>
  </si>
  <si>
    <t>UCF 21</t>
  </si>
  <si>
    <t xml:space="preserve">Angle 7 DUAL </t>
  </si>
  <si>
    <t>UCF 22</t>
  </si>
  <si>
    <t xml:space="preserve">Angle 8 DUAL </t>
  </si>
  <si>
    <t>UCF 23</t>
  </si>
  <si>
    <t xml:space="preserve">Angle 9 DUAL </t>
  </si>
  <si>
    <t>55 x 28 x 8 56 x 28 x 9 55 x 23 x 10 58 x 30 x 10</t>
  </si>
  <si>
    <t>UCF 26 UCF 27 UCF 28 UCF 29</t>
  </si>
  <si>
    <t xml:space="preserve">Angle 10 DUAL </t>
  </si>
  <si>
    <t>70 x 70 x 16</t>
  </si>
  <si>
    <t>UCF 30</t>
  </si>
  <si>
    <t xml:space="preserve">Angle 11 DUAL </t>
  </si>
  <si>
    <t>70 x 70 x 17</t>
  </si>
  <si>
    <t>UCF 31</t>
  </si>
  <si>
    <t xml:space="preserve">Angle 12 DUAL </t>
  </si>
  <si>
    <t>110 x 40 x 12</t>
  </si>
  <si>
    <t>UCF 32</t>
  </si>
  <si>
    <t xml:space="preserve">Angle 13 DUAL </t>
  </si>
  <si>
    <t>110 x 50 x 12</t>
  </si>
  <si>
    <t>UCF 33</t>
  </si>
  <si>
    <t xml:space="preserve">Angle 14 DUAL </t>
  </si>
  <si>
    <t>PIC COMING SOON</t>
  </si>
  <si>
    <t>76 x 30 x 13</t>
  </si>
  <si>
    <t>UCF 34</t>
  </si>
  <si>
    <t xml:space="preserve">Angle 15 DUAL </t>
  </si>
  <si>
    <t>75 x 25 x 10</t>
  </si>
  <si>
    <t>UCF 35</t>
  </si>
  <si>
    <t xml:space="preserve">Angle 16 DUAL </t>
  </si>
  <si>
    <t>UCF 36</t>
  </si>
  <si>
    <t xml:space="preserve">Angle 17 DUAL </t>
  </si>
  <si>
    <t>UCF 37</t>
  </si>
  <si>
    <t xml:space="preserve">THERMO PLASTIC MACROS FULL TEX </t>
  </si>
  <si>
    <t>Big Pack Originals + Loaves  ( 18 thermoplastics)</t>
  </si>
  <si>
    <t>Pack 6 Original (thermoplastics)</t>
  </si>
  <si>
    <t xml:space="preserve">Original 1 </t>
  </si>
  <si>
    <t>Original 2</t>
  </si>
  <si>
    <t>Original 3</t>
  </si>
  <si>
    <t>Original 4</t>
  </si>
  <si>
    <t>Original 5</t>
  </si>
  <si>
    <t>Original 6</t>
  </si>
  <si>
    <t>LOAVES Pack (12 macros )</t>
  </si>
  <si>
    <t>LOAVES 1</t>
  </si>
  <si>
    <t>LOAVES 2</t>
  </si>
  <si>
    <t>LOAVES 3</t>
  </si>
  <si>
    <t>LOAVES 4</t>
  </si>
  <si>
    <t>LOAVES 5</t>
  </si>
  <si>
    <t>LOAVES 6</t>
  </si>
  <si>
    <t>LOAVES 7</t>
  </si>
  <si>
    <t>LOAVES 8</t>
  </si>
  <si>
    <t>LOAVES 9</t>
  </si>
  <si>
    <t>LOAVES 10</t>
  </si>
  <si>
    <t>LOAVES 11</t>
  </si>
  <si>
    <t>LOAVES 12</t>
  </si>
  <si>
    <t xml:space="preserve">Angles Pack </t>
  </si>
  <si>
    <t>Angle 1</t>
  </si>
  <si>
    <t>Angle 2</t>
  </si>
  <si>
    <t>Angle 3</t>
  </si>
  <si>
    <t>Angle 4</t>
  </si>
  <si>
    <t>Angle 5</t>
  </si>
  <si>
    <t>Angle 6</t>
  </si>
  <si>
    <t>Angle 7</t>
  </si>
  <si>
    <t>Angle 8</t>
  </si>
  <si>
    <t>Angle 9</t>
  </si>
  <si>
    <t>Angle 10</t>
  </si>
  <si>
    <t>Angle 11</t>
  </si>
  <si>
    <t>Angle 12</t>
  </si>
  <si>
    <t>Angle 13</t>
  </si>
  <si>
    <t>Angle 14</t>
  </si>
  <si>
    <t>Angle 15</t>
  </si>
  <si>
    <t>Angle 16</t>
  </si>
  <si>
    <t>Angle 17</t>
  </si>
  <si>
    <t>Angle 18</t>
  </si>
  <si>
    <t xml:space="preserve">COLOURS: 2-BRIGHT YELLOW. 5-TRAFFIC RED. 7-SKY BLUE. 10-BLACK. 11-FLURO ORANGE. 12-FLURO GREEN. 13-FLURO PINK. </t>
  </si>
  <si>
    <t>16-SIGNAL VIOLET. 69-LIGHT GREEN. 76-BURNT ORANGE. 77-US GREEN. 79-PURE WHITE. 81-PURPLE</t>
  </si>
  <si>
    <t>KG</t>
  </si>
  <si>
    <t>COLOURS</t>
  </si>
  <si>
    <t>ECLIPSE JUGS</t>
  </si>
  <si>
    <t>ECLIPSE EDGES &amp; SLOPERS</t>
  </si>
  <si>
    <t>BRIGHT YELLOW - RAL 1023</t>
  </si>
  <si>
    <t>TRAFFIC RED - RAL 3020</t>
  </si>
  <si>
    <t>ECLIPSE BLOCKERS</t>
  </si>
  <si>
    <t>SKY BLUE - RAL 5015</t>
  </si>
  <si>
    <t>BLACK - RAL 9005</t>
  </si>
  <si>
    <t>TERRORS DT</t>
  </si>
  <si>
    <t>FLURO ORANGE - RAL 2005</t>
  </si>
  <si>
    <t>FLURO GREEN - PAN. 802C</t>
  </si>
  <si>
    <t>FANGS DT</t>
  </si>
  <si>
    <t>FLURO PINK - PAN. 806C</t>
  </si>
  <si>
    <t>SIGNAL VIOLET - RAL 4008</t>
  </si>
  <si>
    <t>COMMAS DUAL</t>
  </si>
  <si>
    <t>LIGHT GREEN - RAL 6018</t>
  </si>
  <si>
    <t>BURNT ORANGE - US 14-01</t>
  </si>
  <si>
    <t>US GREEN - US 16-16</t>
  </si>
  <si>
    <t>COMMAS PE</t>
  </si>
  <si>
    <t>PURE WHITE - RAL 9001</t>
  </si>
  <si>
    <t>US PURPLE - PAN 267u</t>
  </si>
  <si>
    <t>SMOOTH LINE (POCKETS)</t>
  </si>
  <si>
    <t>SMOOTH LINE (SLOPERS)</t>
  </si>
  <si>
    <t>HARD BOILED DT</t>
  </si>
  <si>
    <t>DOWN CLIMBING JUGS</t>
  </si>
  <si>
    <t>FIBERGLASS DT COMMAS</t>
  </si>
  <si>
    <t>XX</t>
  </si>
  <si>
    <t xml:space="preserve">THERMO DUAL </t>
  </si>
  <si>
    <t>X</t>
  </si>
  <si>
    <t xml:space="preserve">THERMO FULL TEX </t>
  </si>
  <si>
    <t>TOTAL PU SETS PER COLOUR</t>
  </si>
  <si>
    <t>SHIPPING DETAILS</t>
  </si>
  <si>
    <t>COMPANY NAME</t>
  </si>
  <si>
    <t>TOTAL SETS</t>
  </si>
  <si>
    <t>ADDRESS</t>
  </si>
  <si>
    <t>TOTAL HOLDS</t>
  </si>
  <si>
    <t>TOTAL WEIGHT</t>
  </si>
  <si>
    <t>TOTAL COST ex VAT</t>
  </si>
  <si>
    <t>Discount</t>
  </si>
  <si>
    <t>POST CODE</t>
  </si>
  <si>
    <t>VAT</t>
  </si>
  <si>
    <t>COUNTRY</t>
  </si>
  <si>
    <t>TOTAL ORDER COST</t>
  </si>
  <si>
    <t>PHONE NUMBER</t>
  </si>
  <si>
    <t>EMAIL</t>
  </si>
  <si>
    <t>YOUR REFERENCE NUMBER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</si>
</sst>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.00\ [$€-1]"/>
    <numFmt numFmtId="165" formatCode="_-[$€-2]\ * #,##0.00_-;\-[$€-2]\ * #,##0.00_-;_-[$€-2]\ * &quot;-&quot;??_-;_-@"/>
    <numFmt numFmtId="166" formatCode="#,##0\ [$€-1]"/>
    <numFmt numFmtId="167" formatCode="_-[$$-C09]* #,##0.00_-;\-[$$-C09]* #,##0.00_-;_-[$$-C09]* &quot;-&quot;??_-;_-@"/>
    <numFmt numFmtId="168" formatCode="_-[$€-2]\ * #,##0_-;\-[$€-2]\ * #,##0_-;_-[$€-2]\ * &quot;-&quot;??_-;_-@"/>
    <numFmt numFmtId="169" formatCode="_-&quot;$&quot;* #,##0.00_-;\-&quot;$&quot;* #,##0.00_-;_-&quot;$&quot;* &quot;-&quot;??_-;_-@"/>
    <numFmt numFmtId="170" formatCode="[$€-462]\ #,##0.00;\-[$€-462]\ #,##0.00"/>
  </numFmts>
  <fonts count="47">
    <font>
      <sz val="11.0"/>
      <color theme="1"/>
      <name val="Calibri"/>
      <scheme val="minor"/>
    </font>
    <font>
      <sz val="11.0"/>
      <color theme="1"/>
      <name val="Calibri"/>
    </font>
    <font>
      <b/>
      <sz val="28.0"/>
      <color theme="1"/>
      <name val="Calibri"/>
    </font>
    <font/>
    <font>
      <b/>
      <sz val="11.0"/>
      <color theme="1"/>
      <name val="Calibri"/>
    </font>
    <font>
      <b/>
      <sz val="11.0"/>
      <color theme="0"/>
      <name val="Calibri"/>
    </font>
    <font>
      <b/>
      <sz val="11.0"/>
      <color rgb="FFFFFFFF"/>
      <name val="Calibri"/>
    </font>
    <font>
      <b/>
      <sz val="9.0"/>
      <color theme="1"/>
      <name val="Calibri"/>
    </font>
    <font>
      <b/>
      <sz val="20.0"/>
      <color theme="1"/>
      <name val="Calibri"/>
    </font>
    <font>
      <sz val="10.0"/>
      <color theme="1"/>
      <name val="Calibri"/>
    </font>
    <font>
      <sz val="10.0"/>
      <color theme="0"/>
      <name val="Calibri"/>
    </font>
    <font>
      <sz val="10.0"/>
      <color rgb="FFFFFFFF"/>
      <name val="Calibri"/>
    </font>
    <font>
      <sz val="8.0"/>
      <color theme="1"/>
      <name val="Calibri"/>
    </font>
    <font>
      <sz val="8.0"/>
      <color theme="0"/>
      <name val="Calibri"/>
    </font>
    <font>
      <color theme="1"/>
      <name val="Calibri"/>
      <scheme val="minor"/>
    </font>
    <font>
      <sz val="20.0"/>
      <color theme="1"/>
      <name val="Calibri"/>
    </font>
    <font>
      <sz val="20.0"/>
      <color theme="0"/>
      <name val="Calibri"/>
    </font>
    <font>
      <b/>
      <sz val="13.0"/>
      <color theme="1"/>
      <name val="Calibri"/>
    </font>
    <font>
      <sz val="11.0"/>
      <color theme="0"/>
      <name val="Calibri"/>
    </font>
    <font>
      <sz val="20.0"/>
      <color rgb="FFFFFFFF"/>
      <name val="Calibri"/>
    </font>
    <font>
      <b/>
      <sz val="26.0"/>
      <color theme="1"/>
      <name val="Calibri"/>
    </font>
    <font>
      <b/>
      <sz val="21.0"/>
      <color theme="1"/>
      <name val="Calibri"/>
    </font>
    <font>
      <b/>
      <sz val="28.0"/>
      <color rgb="FFFF0000"/>
      <name val="Calibri"/>
    </font>
    <font>
      <b/>
      <sz val="20.0"/>
      <color rgb="FFFFFFFF"/>
      <name val="Calibri"/>
    </font>
    <font>
      <b/>
      <sz val="20.0"/>
      <color theme="0"/>
      <name val="Calibri"/>
    </font>
    <font>
      <b/>
      <sz val="15.0"/>
      <color theme="1"/>
      <name val="Calibri"/>
    </font>
    <font>
      <b/>
      <strike/>
      <sz val="11.0"/>
      <color theme="1"/>
      <name val="Calibri"/>
    </font>
    <font>
      <b/>
      <sz val="10.0"/>
      <color theme="1"/>
      <name val="Calibri"/>
    </font>
    <font>
      <b/>
      <sz val="22.0"/>
      <color theme="1"/>
      <name val="Calibri"/>
    </font>
    <font>
      <sz val="22.0"/>
      <color theme="1"/>
      <name val="Calibri"/>
    </font>
    <font>
      <b/>
      <sz val="17.0"/>
      <color theme="1"/>
      <name val="Calibri"/>
    </font>
    <font>
      <b/>
      <sz val="14.0"/>
      <color theme="1"/>
      <name val="Calibri"/>
    </font>
    <font>
      <b/>
      <sz val="14.0"/>
      <color rgb="FFFF0000"/>
      <name val="Calibri"/>
    </font>
    <font>
      <b/>
      <sz val="14.0"/>
      <color theme="0"/>
      <name val="Calibri"/>
    </font>
    <font>
      <b/>
      <sz val="13.0"/>
      <color rgb="FFFF0000"/>
      <name val="Calibri"/>
    </font>
    <font>
      <b/>
      <sz val="13.0"/>
      <color rgb="FFFFFFFF"/>
      <name val="Calibri"/>
    </font>
    <font>
      <b/>
      <sz val="13.0"/>
      <color theme="0"/>
      <name val="Calibri"/>
    </font>
    <font>
      <b/>
      <sz val="16.0"/>
      <color theme="1"/>
      <name val="Calibri"/>
    </font>
    <font>
      <sz val="11.0"/>
      <color rgb="FFFFFFFF"/>
      <name val="Calibri"/>
    </font>
    <font>
      <b/>
      <sz val="18.0"/>
      <color theme="1"/>
      <name val="Calibri"/>
    </font>
    <font>
      <sz val="13.0"/>
      <color rgb="FFFF0000"/>
      <name val="Calibri"/>
    </font>
    <font>
      <b/>
      <sz val="11.0"/>
      <color rgb="FF000000"/>
      <name val="Calibri"/>
    </font>
    <font>
      <sz val="16.0"/>
      <color theme="1"/>
      <name val="Calibri"/>
    </font>
    <font>
      <b/>
      <sz val="10.0"/>
      <color rgb="FFFF0000"/>
      <name val="Calibri"/>
    </font>
    <font>
      <sz val="11.0"/>
      <color rgb="FF000000"/>
      <name val="Calibri"/>
    </font>
    <font>
      <color rgb="FF000000"/>
      <name val="Calibri"/>
      <scheme val="minor"/>
    </font>
    <font>
      <sz val="12.0"/>
      <color theme="1"/>
      <name val="Calibri"/>
    </font>
  </fonts>
  <fills count="2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rgb="FF66FF66"/>
        <bgColor rgb="FF66FF66"/>
      </patternFill>
    </fill>
    <fill>
      <patternFill patternType="solid">
        <fgColor rgb="FFFF0066"/>
        <bgColor rgb="FFFF0066"/>
      </patternFill>
    </fill>
    <fill>
      <patternFill patternType="solid">
        <fgColor rgb="FFCC00FF"/>
        <bgColor rgb="FFCC00FF"/>
      </patternFill>
    </fill>
    <fill>
      <patternFill patternType="solid">
        <fgColor rgb="FF00FFFF"/>
        <bgColor rgb="FF00FFFF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  <fill>
      <patternFill patternType="solid">
        <fgColor rgb="FF7030A0"/>
        <bgColor rgb="FF7030A0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66FF"/>
        <bgColor rgb="FFFF66FF"/>
      </patternFill>
    </fill>
    <fill>
      <patternFill patternType="solid">
        <fgColor rgb="FF66FFFF"/>
        <bgColor rgb="FF66FFFF"/>
      </patternFill>
    </fill>
    <fill>
      <patternFill patternType="solid">
        <fgColor rgb="FF00FF00"/>
        <bgColor rgb="FF00FF00"/>
      </patternFill>
    </fill>
    <fill>
      <patternFill patternType="solid">
        <fgColor rgb="FF000000"/>
        <bgColor rgb="FF000000"/>
      </patternFill>
    </fill>
    <fill>
      <patternFill patternType="solid">
        <fgColor rgb="FF9900FF"/>
        <bgColor rgb="FF9900FF"/>
      </patternFill>
    </fill>
  </fills>
  <borders count="98">
    <border/>
    <border>
      <left/>
      <top/>
      <bottom/>
    </border>
    <border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/>
      <top/>
    </border>
    <border>
      <top/>
    </border>
    <border>
      <left/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top style="thick">
        <color rgb="FF000000"/>
      </top>
    </border>
    <border>
      <right style="thin">
        <color rgb="FF000000"/>
      </right>
      <top style="thick">
        <color rgb="FF000000"/>
      </top>
    </border>
    <border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n">
        <color rgb="FF000000"/>
      </righ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ck">
        <color rgb="FF000000"/>
      </top>
      <bottom style="thick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left/>
      <right/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right style="medium">
        <color rgb="FF000000"/>
      </right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850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Alignment="1" applyFont="1">
      <alignment horizontal="center"/>
    </xf>
    <xf borderId="1" fillId="2" fontId="2" numFmtId="0" xfId="0" applyAlignment="1" applyBorder="1" applyFill="1" applyFont="1">
      <alignment horizontal="center"/>
    </xf>
    <xf borderId="2" fillId="0" fontId="3" numFmtId="0" xfId="0" applyBorder="1" applyFont="1"/>
    <xf borderId="3" fillId="2" fontId="1" numFmtId="0" xfId="0" applyBorder="1" applyFont="1"/>
    <xf borderId="3" fillId="2" fontId="1" numFmtId="164" xfId="0" applyBorder="1" applyFont="1" applyNumberFormat="1"/>
    <xf borderId="4" fillId="3" fontId="4" numFmtId="0" xfId="0" applyAlignment="1" applyBorder="1" applyFill="1" applyFont="1">
      <alignment horizontal="center" readingOrder="0" vertical="center"/>
    </xf>
    <xf borderId="4" fillId="4" fontId="4" numFmtId="0" xfId="0" applyAlignment="1" applyBorder="1" applyFill="1" applyFont="1">
      <alignment horizontal="center" vertical="center"/>
    </xf>
    <xf borderId="4" fillId="5" fontId="4" numFmtId="0" xfId="0" applyAlignment="1" applyBorder="1" applyFill="1" applyFont="1">
      <alignment horizontal="center" vertical="center"/>
    </xf>
    <xf borderId="4" fillId="6" fontId="5" numFmtId="0" xfId="0" applyAlignment="1" applyBorder="1" applyFill="1" applyFont="1">
      <alignment horizontal="center" vertical="center"/>
    </xf>
    <xf borderId="4" fillId="7" fontId="4" numFmtId="0" xfId="0" applyAlignment="1" applyBorder="1" applyFill="1" applyFont="1">
      <alignment horizontal="center" vertical="center"/>
    </xf>
    <xf borderId="4" fillId="8" fontId="4" numFmtId="0" xfId="0" applyAlignment="1" applyBorder="1" applyFill="1" applyFont="1">
      <alignment horizontal="center" vertical="center"/>
    </xf>
    <xf borderId="4" fillId="9" fontId="4" numFmtId="0" xfId="0" applyAlignment="1" applyBorder="1" applyFill="1" applyFont="1">
      <alignment horizontal="center" vertical="center"/>
    </xf>
    <xf borderId="4" fillId="10" fontId="4" numFmtId="0" xfId="0" applyAlignment="1" applyBorder="1" applyFill="1" applyFont="1">
      <alignment horizontal="center" vertical="center"/>
    </xf>
    <xf borderId="4" fillId="11" fontId="4" numFmtId="0" xfId="0" applyAlignment="1" applyBorder="1" applyFill="1" applyFont="1">
      <alignment horizontal="center" vertical="center"/>
    </xf>
    <xf borderId="4" fillId="12" fontId="4" numFmtId="0" xfId="0" applyAlignment="1" applyBorder="1" applyFill="1" applyFont="1">
      <alignment horizontal="center" vertical="center"/>
    </xf>
    <xf borderId="4" fillId="13" fontId="4" numFmtId="0" xfId="0" applyAlignment="1" applyBorder="1" applyFill="1" applyFont="1">
      <alignment horizontal="center" vertical="center"/>
    </xf>
    <xf borderId="4" fillId="14" fontId="4" numFmtId="0" xfId="0" applyAlignment="1" applyBorder="1" applyFill="1" applyFont="1">
      <alignment horizontal="center" vertical="center"/>
    </xf>
    <xf borderId="4" fillId="2" fontId="4" numFmtId="0" xfId="0" applyAlignment="1" applyBorder="1" applyFont="1">
      <alignment horizontal="center" vertical="center"/>
    </xf>
    <xf borderId="4" fillId="15" fontId="6" numFmtId="0" xfId="0" applyAlignment="1" applyBorder="1" applyFill="1" applyFont="1">
      <alignment horizontal="center" vertical="center"/>
    </xf>
    <xf borderId="5" fillId="0" fontId="4" numFmtId="0" xfId="0" applyAlignment="1" applyBorder="1" applyFont="1">
      <alignment horizontal="center"/>
    </xf>
    <xf borderId="5" fillId="0" fontId="4" numFmtId="164" xfId="0" applyAlignment="1" applyBorder="1" applyFont="1" applyNumberFormat="1">
      <alignment horizontal="center"/>
    </xf>
    <xf borderId="6" fillId="3" fontId="4" numFmtId="0" xfId="0" applyAlignment="1" applyBorder="1" applyFont="1">
      <alignment horizontal="center"/>
    </xf>
    <xf borderId="6" fillId="4" fontId="4" numFmtId="0" xfId="0" applyAlignment="1" applyBorder="1" applyFont="1">
      <alignment horizontal="center"/>
    </xf>
    <xf borderId="6" fillId="5" fontId="4" numFmtId="0" xfId="0" applyAlignment="1" applyBorder="1" applyFont="1">
      <alignment horizontal="center"/>
    </xf>
    <xf borderId="6" fillId="6" fontId="5" numFmtId="0" xfId="0" applyAlignment="1" applyBorder="1" applyFont="1">
      <alignment horizontal="center"/>
    </xf>
    <xf borderId="6" fillId="7" fontId="4" numFmtId="0" xfId="0" applyAlignment="1" applyBorder="1" applyFont="1">
      <alignment horizontal="center"/>
    </xf>
    <xf borderId="6" fillId="8" fontId="4" numFmtId="0" xfId="0" applyAlignment="1" applyBorder="1" applyFont="1">
      <alignment horizontal="center"/>
    </xf>
    <xf borderId="6" fillId="9" fontId="4" numFmtId="0" xfId="0" applyAlignment="1" applyBorder="1" applyFont="1">
      <alignment horizontal="center"/>
    </xf>
    <xf borderId="6" fillId="10" fontId="4" numFmtId="0" xfId="0" applyAlignment="1" applyBorder="1" applyFont="1">
      <alignment horizontal="center"/>
    </xf>
    <xf borderId="6" fillId="11" fontId="4" numFmtId="0" xfId="0" applyAlignment="1" applyBorder="1" applyFont="1">
      <alignment horizontal="center"/>
    </xf>
    <xf borderId="6" fillId="12" fontId="4" numFmtId="0" xfId="0" applyAlignment="1" applyBorder="1" applyFont="1">
      <alignment horizontal="center"/>
    </xf>
    <xf borderId="6" fillId="13" fontId="4" numFmtId="0" xfId="0" applyAlignment="1" applyBorder="1" applyFont="1">
      <alignment horizontal="center"/>
    </xf>
    <xf borderId="6" fillId="16" fontId="4" numFmtId="0" xfId="0" applyAlignment="1" applyBorder="1" applyFill="1" applyFont="1">
      <alignment horizontal="center"/>
    </xf>
    <xf borderId="6" fillId="2" fontId="4" numFmtId="0" xfId="0" applyAlignment="1" applyBorder="1" applyFont="1">
      <alignment horizontal="center"/>
    </xf>
    <xf borderId="6" fillId="15" fontId="5" numFmtId="0" xfId="0" applyAlignment="1" applyBorder="1" applyFont="1">
      <alignment horizontal="center"/>
    </xf>
    <xf borderId="7" fillId="0" fontId="7" numFmtId="0" xfId="0" applyAlignment="1" applyBorder="1" applyFont="1">
      <alignment horizontal="center"/>
    </xf>
    <xf borderId="8" fillId="0" fontId="7" numFmtId="0" xfId="0" applyAlignment="1" applyBorder="1" applyFont="1">
      <alignment horizontal="center"/>
    </xf>
    <xf borderId="9" fillId="0" fontId="7" numFmtId="0" xfId="0" applyAlignment="1" applyBorder="1" applyFont="1">
      <alignment horizontal="center"/>
    </xf>
    <xf borderId="0" fillId="3" fontId="1" numFmtId="0" xfId="0" applyAlignment="1" applyFont="1">
      <alignment horizontal="center"/>
    </xf>
    <xf borderId="10" fillId="2" fontId="8" numFmtId="0" xfId="0" applyAlignment="1" applyBorder="1" applyFont="1">
      <alignment horizontal="center"/>
    </xf>
    <xf borderId="11" fillId="0" fontId="3" numFmtId="0" xfId="0" applyBorder="1" applyFont="1"/>
    <xf borderId="12" fillId="0" fontId="3" numFmtId="0" xfId="0" applyBorder="1" applyFont="1"/>
    <xf borderId="13" fillId="0" fontId="4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vertical="center"/>
    </xf>
    <xf borderId="5" fillId="2" fontId="4" numFmtId="164" xfId="0" applyAlignment="1" applyBorder="1" applyFont="1" applyNumberFormat="1">
      <alignment vertical="center"/>
    </xf>
    <xf borderId="5" fillId="3" fontId="9" numFmtId="0" xfId="0" applyAlignment="1" applyBorder="1" applyFont="1">
      <alignment horizontal="center" vertical="center"/>
    </xf>
    <xf borderId="5" fillId="4" fontId="9" numFmtId="0" xfId="0" applyAlignment="1" applyBorder="1" applyFont="1">
      <alignment horizontal="center" vertical="center"/>
    </xf>
    <xf borderId="5" fillId="5" fontId="9" numFmtId="0" xfId="0" applyAlignment="1" applyBorder="1" applyFont="1">
      <alignment horizontal="center" vertical="center"/>
    </xf>
    <xf borderId="5" fillId="6" fontId="10" numFmtId="0" xfId="0" applyAlignment="1" applyBorder="1" applyFont="1">
      <alignment horizontal="center" vertical="center"/>
    </xf>
    <xf borderId="5" fillId="7" fontId="9" numFmtId="0" xfId="0" applyAlignment="1" applyBorder="1" applyFont="1">
      <alignment horizontal="center" vertical="center"/>
    </xf>
    <xf borderId="5" fillId="8" fontId="9" numFmtId="0" xfId="0" applyAlignment="1" applyBorder="1" applyFont="1">
      <alignment horizontal="center" vertical="center"/>
    </xf>
    <xf borderId="5" fillId="9" fontId="9" numFmtId="0" xfId="0" applyAlignment="1" applyBorder="1" applyFont="1">
      <alignment horizontal="center" vertical="center"/>
    </xf>
    <xf borderId="5" fillId="10" fontId="9" numFmtId="0" xfId="0" applyAlignment="1" applyBorder="1" applyFont="1">
      <alignment horizontal="center" vertical="center"/>
    </xf>
    <xf borderId="5" fillId="11" fontId="9" numFmtId="0" xfId="0" applyAlignment="1" applyBorder="1" applyFont="1">
      <alignment horizontal="center" vertical="center"/>
    </xf>
    <xf borderId="5" fillId="12" fontId="9" numFmtId="0" xfId="0" applyAlignment="1" applyBorder="1" applyFont="1">
      <alignment horizontal="center" vertical="center"/>
    </xf>
    <xf borderId="5" fillId="13" fontId="9" numFmtId="0" xfId="0" applyAlignment="1" applyBorder="1" applyFont="1">
      <alignment horizontal="center" vertical="center"/>
    </xf>
    <xf borderId="5" fillId="14" fontId="9" numFmtId="0" xfId="0" applyAlignment="1" applyBorder="1" applyFont="1">
      <alignment horizontal="center" vertical="center"/>
    </xf>
    <xf borderId="5" fillId="2" fontId="9" numFmtId="0" xfId="0" applyAlignment="1" applyBorder="1" applyFont="1">
      <alignment horizontal="center" vertical="center"/>
    </xf>
    <xf borderId="5" fillId="15" fontId="10" numFmtId="0" xfId="0" applyAlignment="1" applyBorder="1" applyFont="1">
      <alignment horizontal="center" vertical="center"/>
    </xf>
    <xf borderId="5" fillId="2" fontId="9" numFmtId="0" xfId="0" applyAlignment="1" applyBorder="1" applyFont="1">
      <alignment vertical="center"/>
    </xf>
    <xf borderId="5" fillId="0" fontId="9" numFmtId="0" xfId="0" applyAlignment="1" applyBorder="1" applyFont="1">
      <alignment vertical="center"/>
    </xf>
    <xf borderId="14" fillId="0" fontId="9" numFmtId="165" xfId="0" applyAlignment="1" applyBorder="1" applyFont="1" applyNumberFormat="1">
      <alignment vertical="center"/>
    </xf>
    <xf borderId="5" fillId="3" fontId="9" numFmtId="0" xfId="0" applyAlignment="1" applyBorder="1" applyFont="1">
      <alignment horizontal="center" readingOrder="0" vertical="center"/>
    </xf>
    <xf borderId="5" fillId="15" fontId="11" numFmtId="0" xfId="0" applyAlignment="1" applyBorder="1" applyFont="1">
      <alignment horizontal="center" vertical="center"/>
    </xf>
    <xf borderId="5" fillId="3" fontId="12" numFmtId="0" xfId="0" applyAlignment="1" applyBorder="1" applyFont="1">
      <alignment horizontal="center" vertical="center"/>
    </xf>
    <xf borderId="5" fillId="4" fontId="12" numFmtId="0" xfId="0" applyAlignment="1" applyBorder="1" applyFont="1">
      <alignment horizontal="center" vertical="center"/>
    </xf>
    <xf borderId="5" fillId="5" fontId="12" numFmtId="0" xfId="0" applyAlignment="1" applyBorder="1" applyFont="1">
      <alignment horizontal="center" vertical="center"/>
    </xf>
    <xf borderId="5" fillId="6" fontId="13" numFmtId="0" xfId="0" applyAlignment="1" applyBorder="1" applyFont="1">
      <alignment horizontal="center" vertical="center"/>
    </xf>
    <xf borderId="5" fillId="7" fontId="12" numFmtId="0" xfId="0" applyAlignment="1" applyBorder="1" applyFont="1">
      <alignment horizontal="center" vertical="center"/>
    </xf>
    <xf borderId="5" fillId="8" fontId="12" numFmtId="0" xfId="0" applyAlignment="1" applyBorder="1" applyFont="1">
      <alignment horizontal="center" vertical="center"/>
    </xf>
    <xf borderId="5" fillId="9" fontId="12" numFmtId="0" xfId="0" applyAlignment="1" applyBorder="1" applyFont="1">
      <alignment horizontal="center" vertical="center"/>
    </xf>
    <xf borderId="5" fillId="10" fontId="12" numFmtId="0" xfId="0" applyAlignment="1" applyBorder="1" applyFont="1">
      <alignment horizontal="center" vertical="center"/>
    </xf>
    <xf borderId="5" fillId="11" fontId="12" numFmtId="0" xfId="0" applyAlignment="1" applyBorder="1" applyFont="1">
      <alignment horizontal="center" vertical="center"/>
    </xf>
    <xf borderId="5" fillId="12" fontId="12" numFmtId="0" xfId="0" applyAlignment="1" applyBorder="1" applyFont="1">
      <alignment horizontal="center" vertical="center"/>
    </xf>
    <xf borderId="5" fillId="13" fontId="12" numFmtId="0" xfId="0" applyAlignment="1" applyBorder="1" applyFont="1">
      <alignment horizontal="center" vertical="center"/>
    </xf>
    <xf borderId="5" fillId="14" fontId="12" numFmtId="0" xfId="0" applyAlignment="1" applyBorder="1" applyFont="1">
      <alignment horizontal="center" vertical="center"/>
    </xf>
    <xf borderId="5" fillId="2" fontId="12" numFmtId="0" xfId="0" applyAlignment="1" applyBorder="1" applyFont="1">
      <alignment horizontal="center" vertical="center"/>
    </xf>
    <xf borderId="5" fillId="15" fontId="13" numFmtId="0" xfId="0" applyAlignment="1" applyBorder="1" applyFont="1">
      <alignment horizontal="center" vertical="center"/>
    </xf>
    <xf borderId="5" fillId="0" fontId="1" numFmtId="0" xfId="0" applyBorder="1" applyFont="1"/>
    <xf borderId="5" fillId="0" fontId="1" numFmtId="165" xfId="0" applyBorder="1" applyFont="1" applyNumberFormat="1"/>
    <xf borderId="0" fillId="17" fontId="14" numFmtId="0" xfId="0" applyFill="1" applyFont="1"/>
    <xf borderId="4" fillId="18" fontId="4" numFmtId="0" xfId="0" applyAlignment="1" applyBorder="1" applyFill="1" applyFont="1">
      <alignment horizontal="center" vertical="center"/>
    </xf>
    <xf borderId="3" fillId="17" fontId="1" numFmtId="0" xfId="0" applyBorder="1" applyFont="1"/>
    <xf borderId="0" fillId="17" fontId="1" numFmtId="0" xfId="0" applyFont="1"/>
    <xf borderId="6" fillId="18" fontId="4" numFmtId="0" xfId="0" applyAlignment="1" applyBorder="1" applyFont="1">
      <alignment horizontal="center"/>
    </xf>
    <xf borderId="7" fillId="17" fontId="7" numFmtId="0" xfId="0" applyAlignment="1" applyBorder="1" applyFont="1">
      <alignment horizontal="center"/>
    </xf>
    <xf borderId="8" fillId="17" fontId="7" numFmtId="0" xfId="0" applyAlignment="1" applyBorder="1" applyFont="1">
      <alignment horizontal="center"/>
    </xf>
    <xf borderId="9" fillId="17" fontId="7" numFmtId="0" xfId="0" applyAlignment="1" applyBorder="1" applyFont="1">
      <alignment horizontal="center"/>
    </xf>
    <xf borderId="0" fillId="17" fontId="1" numFmtId="166" xfId="0" applyFont="1" applyNumberFormat="1"/>
    <xf borderId="5" fillId="18" fontId="15" numFmtId="0" xfId="0" applyAlignment="1" applyBorder="1" applyFont="1">
      <alignment horizontal="center" vertical="center"/>
    </xf>
    <xf borderId="5" fillId="4" fontId="15" numFmtId="0" xfId="0" applyAlignment="1" applyBorder="1" applyFont="1">
      <alignment horizontal="center" vertical="center"/>
    </xf>
    <xf borderId="5" fillId="5" fontId="15" numFmtId="0" xfId="0" applyAlignment="1" applyBorder="1" applyFont="1">
      <alignment horizontal="center" vertical="center"/>
    </xf>
    <xf borderId="5" fillId="6" fontId="16" numFmtId="0" xfId="0" applyAlignment="1" applyBorder="1" applyFont="1">
      <alignment horizontal="center" vertical="center"/>
    </xf>
    <xf borderId="5" fillId="7" fontId="15" numFmtId="0" xfId="0" applyAlignment="1" applyBorder="1" applyFont="1">
      <alignment horizontal="center" vertical="center"/>
    </xf>
    <xf borderId="5" fillId="8" fontId="15" numFmtId="0" xfId="0" applyAlignment="1" applyBorder="1" applyFont="1">
      <alignment horizontal="center" vertical="center"/>
    </xf>
    <xf borderId="5" fillId="9" fontId="15" numFmtId="0" xfId="0" applyAlignment="1" applyBorder="1" applyFont="1">
      <alignment horizontal="center" vertical="center"/>
    </xf>
    <xf borderId="5" fillId="10" fontId="15" numFmtId="0" xfId="0" applyAlignment="1" applyBorder="1" applyFont="1">
      <alignment horizontal="center" vertical="center"/>
    </xf>
    <xf borderId="5" fillId="11" fontId="15" numFmtId="0" xfId="0" applyAlignment="1" applyBorder="1" applyFont="1">
      <alignment horizontal="center" vertical="center"/>
    </xf>
    <xf borderId="5" fillId="12" fontId="15" numFmtId="0" xfId="0" applyAlignment="1" applyBorder="1" applyFont="1">
      <alignment horizontal="center" vertical="center"/>
    </xf>
    <xf borderId="5" fillId="13" fontId="15" numFmtId="0" xfId="0" applyAlignment="1" applyBorder="1" applyFont="1">
      <alignment horizontal="center" vertical="center"/>
    </xf>
    <xf borderId="5" fillId="14" fontId="15" numFmtId="0" xfId="0" applyAlignment="1" applyBorder="1" applyFont="1">
      <alignment horizontal="center" vertical="center"/>
    </xf>
    <xf borderId="5" fillId="2" fontId="15" numFmtId="0" xfId="0" applyAlignment="1" applyBorder="1" applyFont="1">
      <alignment horizontal="center" vertical="center"/>
    </xf>
    <xf borderId="5" fillId="15" fontId="16" numFmtId="0" xfId="0" applyAlignment="1" applyBorder="1" applyFont="1">
      <alignment horizontal="center" vertical="center"/>
    </xf>
    <xf borderId="5" fillId="17" fontId="1" numFmtId="0" xfId="0" applyAlignment="1" applyBorder="1" applyFont="1">
      <alignment vertical="center"/>
    </xf>
    <xf borderId="14" fillId="17" fontId="1" numFmtId="165" xfId="0" applyAlignment="1" applyBorder="1" applyFont="1" applyNumberFormat="1">
      <alignment vertical="center"/>
    </xf>
    <xf borderId="13" fillId="0" fontId="4" numFmtId="0" xfId="0" applyAlignment="1" applyBorder="1" applyFont="1">
      <alignment horizontal="center" shrinkToFit="0" vertical="center" wrapText="1"/>
    </xf>
    <xf borderId="15" fillId="2" fontId="1" numFmtId="0" xfId="0" applyAlignment="1" applyBorder="1" applyFont="1">
      <alignment horizontal="center"/>
    </xf>
    <xf borderId="15" fillId="17" fontId="1" numFmtId="0" xfId="0" applyBorder="1" applyFont="1"/>
    <xf borderId="15" fillId="17" fontId="1" numFmtId="165" xfId="0" applyBorder="1" applyFont="1" applyNumberFormat="1"/>
    <xf borderId="3" fillId="2" fontId="8" numFmtId="0" xfId="0" applyAlignment="1" applyBorder="1" applyFont="1">
      <alignment horizontal="center"/>
    </xf>
    <xf borderId="3" fillId="2" fontId="1" numFmtId="164" xfId="0" applyAlignment="1" applyBorder="1" applyFont="1" applyNumberFormat="1">
      <alignment readingOrder="0"/>
    </xf>
    <xf borderId="0" fillId="0" fontId="4" numFmtId="0" xfId="0" applyAlignment="1" applyFont="1">
      <alignment horizontal="center"/>
    </xf>
    <xf borderId="3" fillId="2" fontId="5" numFmtId="0" xfId="0" applyAlignment="1" applyBorder="1" applyFont="1">
      <alignment horizontal="center"/>
    </xf>
    <xf borderId="0" fillId="17" fontId="4" numFmtId="0" xfId="0" applyAlignment="1" applyFont="1">
      <alignment horizontal="center"/>
    </xf>
    <xf borderId="5" fillId="17" fontId="1" numFmtId="165" xfId="0" applyAlignment="1" applyBorder="1" applyFont="1" applyNumberFormat="1">
      <alignment vertical="center"/>
    </xf>
    <xf borderId="5" fillId="2" fontId="4" numFmtId="0" xfId="0" applyAlignment="1" applyBorder="1" applyFont="1">
      <alignment horizontal="center" vertical="center"/>
    </xf>
    <xf borderId="5" fillId="2" fontId="4" numFmtId="0" xfId="0" applyAlignment="1" applyBorder="1" applyFont="1">
      <alignment horizontal="center"/>
    </xf>
    <xf borderId="5" fillId="0" fontId="4" numFmtId="0" xfId="0" applyAlignment="1" applyBorder="1" applyFont="1">
      <alignment horizontal="center" shrinkToFit="0" vertical="center" wrapText="1"/>
    </xf>
    <xf borderId="5" fillId="2" fontId="4" numFmtId="0" xfId="0" applyAlignment="1" applyBorder="1" applyFont="1">
      <alignment horizontal="center" shrinkToFit="0" vertical="center" wrapText="1"/>
    </xf>
    <xf borderId="0" fillId="0" fontId="17" numFmtId="0" xfId="0" applyFont="1"/>
    <xf borderId="5" fillId="2" fontId="1" numFmtId="0" xfId="0" applyAlignment="1" applyBorder="1" applyFont="1">
      <alignment horizontal="center"/>
    </xf>
    <xf borderId="5" fillId="17" fontId="1" numFmtId="0" xfId="0" applyBorder="1" applyFont="1"/>
    <xf borderId="5" fillId="17" fontId="1" numFmtId="165" xfId="0" applyBorder="1" applyFont="1" applyNumberFormat="1"/>
    <xf borderId="1" fillId="2" fontId="8" numFmtId="0" xfId="0" applyAlignment="1" applyBorder="1" applyFont="1">
      <alignment horizontal="center"/>
    </xf>
    <xf borderId="3" fillId="2" fontId="1" numFmtId="0" xfId="0" applyAlignment="1" applyBorder="1" applyFont="1">
      <alignment horizontal="center"/>
    </xf>
    <xf borderId="3" fillId="2" fontId="18" numFmtId="0" xfId="0" applyAlignment="1" applyBorder="1" applyFont="1">
      <alignment horizontal="center"/>
    </xf>
    <xf borderId="3" fillId="17" fontId="1" numFmtId="165" xfId="0" applyBorder="1" applyFont="1" applyNumberFormat="1"/>
    <xf borderId="16" fillId="0" fontId="4" numFmtId="0" xfId="0" applyAlignment="1" applyBorder="1" applyFont="1">
      <alignment horizontal="center" shrinkToFit="0" vertical="center" wrapText="1"/>
    </xf>
    <xf borderId="17" fillId="0" fontId="4" numFmtId="0" xfId="0" applyAlignment="1" applyBorder="1" applyFont="1">
      <alignment horizontal="center"/>
    </xf>
    <xf borderId="18" fillId="0" fontId="4" numFmtId="0" xfId="0" applyAlignment="1" applyBorder="1" applyFont="1">
      <alignment horizontal="center" vertical="center"/>
    </xf>
    <xf borderId="18" fillId="18" fontId="15" numFmtId="0" xfId="0" applyAlignment="1" applyBorder="1" applyFont="1">
      <alignment horizontal="center" vertical="center"/>
    </xf>
    <xf borderId="18" fillId="4" fontId="15" numFmtId="0" xfId="0" applyAlignment="1" applyBorder="1" applyFont="1">
      <alignment horizontal="center" vertical="center"/>
    </xf>
    <xf borderId="18" fillId="5" fontId="15" numFmtId="0" xfId="0" applyAlignment="1" applyBorder="1" applyFont="1">
      <alignment horizontal="center" vertical="center"/>
    </xf>
    <xf borderId="18" fillId="6" fontId="16" numFmtId="0" xfId="0" applyAlignment="1" applyBorder="1" applyFont="1">
      <alignment horizontal="center" vertical="center"/>
    </xf>
    <xf borderId="18" fillId="7" fontId="15" numFmtId="0" xfId="0" applyAlignment="1" applyBorder="1" applyFont="1">
      <alignment horizontal="center" vertical="center"/>
    </xf>
    <xf borderId="18" fillId="8" fontId="15" numFmtId="0" xfId="0" applyAlignment="1" applyBorder="1" applyFont="1">
      <alignment horizontal="center" vertical="center"/>
    </xf>
    <xf borderId="18" fillId="9" fontId="15" numFmtId="0" xfId="0" applyAlignment="1" applyBorder="1" applyFont="1">
      <alignment horizontal="center" vertical="center"/>
    </xf>
    <xf borderId="18" fillId="10" fontId="15" numFmtId="0" xfId="0" applyAlignment="1" applyBorder="1" applyFont="1">
      <alignment horizontal="center" vertical="center"/>
    </xf>
    <xf borderId="18" fillId="11" fontId="15" numFmtId="0" xfId="0" applyAlignment="1" applyBorder="1" applyFont="1">
      <alignment horizontal="center" vertical="center"/>
    </xf>
    <xf borderId="18" fillId="12" fontId="15" numFmtId="0" xfId="0" applyAlignment="1" applyBorder="1" applyFont="1">
      <alignment horizontal="center" vertical="center"/>
    </xf>
    <xf borderId="18" fillId="13" fontId="15" numFmtId="0" xfId="0" applyAlignment="1" applyBorder="1" applyFont="1">
      <alignment horizontal="center" vertical="center"/>
    </xf>
    <xf borderId="18" fillId="14" fontId="15" numFmtId="0" xfId="0" applyAlignment="1" applyBorder="1" applyFont="1">
      <alignment horizontal="center" vertical="center"/>
    </xf>
    <xf borderId="18" fillId="2" fontId="15" numFmtId="0" xfId="0" applyAlignment="1" applyBorder="1" applyFont="1">
      <alignment horizontal="center" vertical="center"/>
    </xf>
    <xf borderId="18" fillId="15" fontId="15" numFmtId="0" xfId="0" applyAlignment="1" applyBorder="1" applyFont="1">
      <alignment horizontal="center" vertical="center"/>
    </xf>
    <xf borderId="18" fillId="17" fontId="1" numFmtId="0" xfId="0" applyAlignment="1" applyBorder="1" applyFont="1">
      <alignment vertical="center"/>
    </xf>
    <xf borderId="19" fillId="17" fontId="1" numFmtId="165" xfId="0" applyAlignment="1" applyBorder="1" applyFont="1" applyNumberFormat="1">
      <alignment vertical="center"/>
    </xf>
    <xf borderId="12" fillId="0" fontId="4" numFmtId="0" xfId="0" applyAlignment="1" applyBorder="1" applyFont="1">
      <alignment horizontal="center"/>
    </xf>
    <xf borderId="5" fillId="15" fontId="15" numFmtId="0" xfId="0" applyAlignment="1" applyBorder="1" applyFont="1">
      <alignment horizontal="center" vertical="center"/>
    </xf>
    <xf borderId="13" fillId="2" fontId="4" numFmtId="0" xfId="0" applyAlignment="1" applyBorder="1" applyFont="1">
      <alignment horizontal="center" shrinkToFit="0" vertical="center" wrapText="1"/>
    </xf>
    <xf borderId="20" fillId="2" fontId="4" numFmtId="0" xfId="0" applyAlignment="1" applyBorder="1" applyFont="1">
      <alignment horizontal="center"/>
    </xf>
    <xf borderId="5" fillId="6" fontId="19" numFmtId="0" xfId="0" applyAlignment="1" applyBorder="1" applyFont="1">
      <alignment horizontal="center" readingOrder="0" vertical="center"/>
    </xf>
    <xf borderId="21" fillId="2" fontId="4" numFmtId="0" xfId="0" applyAlignment="1" applyBorder="1" applyFont="1">
      <alignment horizontal="center" shrinkToFit="0" vertical="center" wrapText="1"/>
    </xf>
    <xf borderId="22" fillId="2" fontId="4" numFmtId="0" xfId="0" applyAlignment="1" applyBorder="1" applyFont="1">
      <alignment horizontal="center"/>
    </xf>
    <xf borderId="23" fillId="18" fontId="15" numFmtId="0" xfId="0" applyAlignment="1" applyBorder="1" applyFont="1">
      <alignment horizontal="center" vertical="center"/>
    </xf>
    <xf borderId="23" fillId="4" fontId="15" numFmtId="0" xfId="0" applyAlignment="1" applyBorder="1" applyFont="1">
      <alignment horizontal="center" vertical="center"/>
    </xf>
    <xf borderId="23" fillId="5" fontId="15" numFmtId="0" xfId="0" applyAlignment="1" applyBorder="1" applyFont="1">
      <alignment horizontal="center" vertical="center"/>
    </xf>
    <xf borderId="23" fillId="6" fontId="16" numFmtId="0" xfId="0" applyAlignment="1" applyBorder="1" applyFont="1">
      <alignment horizontal="center" vertical="center"/>
    </xf>
    <xf borderId="23" fillId="19" fontId="15" numFmtId="0" xfId="0" applyAlignment="1" applyBorder="1" applyFill="1" applyFont="1">
      <alignment horizontal="center" vertical="center"/>
    </xf>
    <xf borderId="23" fillId="8" fontId="15" numFmtId="0" xfId="0" applyAlignment="1" applyBorder="1" applyFont="1">
      <alignment horizontal="center" vertical="center"/>
    </xf>
    <xf borderId="23" fillId="9" fontId="15" numFmtId="0" xfId="0" applyAlignment="1" applyBorder="1" applyFont="1">
      <alignment horizontal="center" vertical="center"/>
    </xf>
    <xf borderId="23" fillId="10" fontId="15" numFmtId="0" xfId="0" applyAlignment="1" applyBorder="1" applyFont="1">
      <alignment horizontal="center" vertical="center"/>
    </xf>
    <xf borderId="23" fillId="11" fontId="15" numFmtId="0" xfId="0" applyAlignment="1" applyBorder="1" applyFont="1">
      <alignment horizontal="center" vertical="center"/>
    </xf>
    <xf borderId="23" fillId="12" fontId="15" numFmtId="0" xfId="0" applyAlignment="1" applyBorder="1" applyFont="1">
      <alignment horizontal="center" vertical="center"/>
    </xf>
    <xf borderId="23" fillId="13" fontId="15" numFmtId="0" xfId="0" applyAlignment="1" applyBorder="1" applyFont="1">
      <alignment horizontal="center" vertical="center"/>
    </xf>
    <xf borderId="23" fillId="14" fontId="15" numFmtId="0" xfId="0" applyAlignment="1" applyBorder="1" applyFont="1">
      <alignment horizontal="center" vertical="center"/>
    </xf>
    <xf borderId="23" fillId="2" fontId="15" numFmtId="0" xfId="0" applyAlignment="1" applyBorder="1" applyFont="1">
      <alignment horizontal="center" vertical="center"/>
    </xf>
    <xf borderId="23" fillId="15" fontId="15" numFmtId="0" xfId="0" applyAlignment="1" applyBorder="1" applyFont="1">
      <alignment horizontal="center" readingOrder="0" vertical="center"/>
    </xf>
    <xf borderId="23" fillId="17" fontId="1" numFmtId="0" xfId="0" applyAlignment="1" applyBorder="1" applyFont="1">
      <alignment vertical="center"/>
    </xf>
    <xf borderId="24" fillId="17" fontId="1" numFmtId="165" xfId="0" applyAlignment="1" applyBorder="1" applyFont="1" applyNumberFormat="1">
      <alignment vertical="center"/>
    </xf>
    <xf borderId="1" fillId="2" fontId="20" numFmtId="0" xfId="0" applyAlignment="1" applyBorder="1" applyFont="1">
      <alignment horizontal="center"/>
    </xf>
    <xf borderId="3" fillId="2" fontId="4" numFmtId="0" xfId="0" applyAlignment="1" applyBorder="1" applyFont="1">
      <alignment horizontal="center"/>
    </xf>
    <xf borderId="5" fillId="18" fontId="4" numFmtId="0" xfId="0" applyAlignment="1" applyBorder="1" applyFont="1">
      <alignment vertical="center"/>
    </xf>
    <xf borderId="5" fillId="4" fontId="4" numFmtId="0" xfId="0" applyAlignment="1" applyBorder="1" applyFont="1">
      <alignment vertical="center"/>
    </xf>
    <xf borderId="25" fillId="5" fontId="4" numFmtId="0" xfId="0" applyAlignment="1" applyBorder="1" applyFont="1">
      <alignment vertical="center"/>
    </xf>
    <xf borderId="5" fillId="6" fontId="5" numFmtId="0" xfId="0" applyAlignment="1" applyBorder="1" applyFont="1">
      <alignment vertical="center"/>
    </xf>
    <xf borderId="20" fillId="7" fontId="4" numFmtId="0" xfId="0" applyAlignment="1" applyBorder="1" applyFont="1">
      <alignment vertical="center"/>
    </xf>
    <xf borderId="5" fillId="8" fontId="4" numFmtId="0" xfId="0" applyAlignment="1" applyBorder="1" applyFont="1">
      <alignment vertical="center"/>
    </xf>
    <xf borderId="5" fillId="9" fontId="4" numFmtId="0" xfId="0" applyAlignment="1" applyBorder="1" applyFont="1">
      <alignment vertical="center"/>
    </xf>
    <xf borderId="5" fillId="10" fontId="4" numFmtId="0" xfId="0" applyAlignment="1" applyBorder="1" applyFont="1">
      <alignment vertical="center"/>
    </xf>
    <xf borderId="5" fillId="11" fontId="4" numFmtId="0" xfId="0" applyAlignment="1" applyBorder="1" applyFont="1">
      <alignment vertical="center"/>
    </xf>
    <xf borderId="5" fillId="12" fontId="4" numFmtId="0" xfId="0" applyAlignment="1" applyBorder="1" applyFont="1">
      <alignment vertical="center"/>
    </xf>
    <xf borderId="5" fillId="13" fontId="4" numFmtId="0" xfId="0" applyAlignment="1" applyBorder="1" applyFont="1">
      <alignment vertical="center"/>
    </xf>
    <xf borderId="5" fillId="14" fontId="4" numFmtId="0" xfId="0" applyAlignment="1" applyBorder="1" applyFont="1">
      <alignment vertical="center"/>
    </xf>
    <xf borderId="5" fillId="2" fontId="4" numFmtId="0" xfId="0" applyAlignment="1" applyBorder="1" applyFont="1">
      <alignment vertical="center"/>
    </xf>
    <xf borderId="5" fillId="15" fontId="5" numFmtId="0" xfId="0" applyAlignment="1" applyBorder="1" applyFont="1">
      <alignment vertical="center"/>
    </xf>
    <xf borderId="3" fillId="2" fontId="1" numFmtId="167" xfId="0" applyBorder="1" applyFont="1" applyNumberFormat="1"/>
    <xf borderId="26" fillId="0" fontId="4" numFmtId="0" xfId="0" applyAlignment="1" applyBorder="1" applyFont="1">
      <alignment horizontal="center"/>
    </xf>
    <xf borderId="27" fillId="0" fontId="4" numFmtId="0" xfId="0" applyAlignment="1" applyBorder="1" applyFont="1">
      <alignment horizontal="center"/>
    </xf>
    <xf borderId="7" fillId="0" fontId="4" numFmtId="0" xfId="0" applyAlignment="1" applyBorder="1" applyFont="1">
      <alignment horizontal="center"/>
    </xf>
    <xf borderId="7" fillId="0" fontId="4" numFmtId="164" xfId="0" applyAlignment="1" applyBorder="1" applyFont="1" applyNumberFormat="1">
      <alignment horizontal="center"/>
    </xf>
    <xf borderId="5" fillId="18" fontId="1" numFmtId="0" xfId="0" applyAlignment="1" applyBorder="1" applyFont="1">
      <alignment horizontal="center"/>
    </xf>
    <xf borderId="5" fillId="4" fontId="1" numFmtId="0" xfId="0" applyAlignment="1" applyBorder="1" applyFont="1">
      <alignment horizontal="center"/>
    </xf>
    <xf borderId="25" fillId="5" fontId="1" numFmtId="0" xfId="0" applyAlignment="1" applyBorder="1" applyFont="1">
      <alignment horizontal="center"/>
    </xf>
    <xf borderId="5" fillId="6" fontId="18" numFmtId="0" xfId="0" applyAlignment="1" applyBorder="1" applyFont="1">
      <alignment horizontal="center"/>
    </xf>
    <xf borderId="20" fillId="7" fontId="1" numFmtId="0" xfId="0" applyAlignment="1" applyBorder="1" applyFont="1">
      <alignment horizontal="center"/>
    </xf>
    <xf borderId="5" fillId="8" fontId="1" numFmtId="0" xfId="0" applyAlignment="1" applyBorder="1" applyFont="1">
      <alignment horizontal="center"/>
    </xf>
    <xf borderId="5" fillId="9" fontId="1" numFmtId="0" xfId="0" applyAlignment="1" applyBorder="1" applyFont="1">
      <alignment horizontal="center"/>
    </xf>
    <xf borderId="5" fillId="10" fontId="1" numFmtId="0" xfId="0" applyAlignment="1" applyBorder="1" applyFont="1">
      <alignment horizontal="center"/>
    </xf>
    <xf borderId="5" fillId="11" fontId="1" numFmtId="0" xfId="0" applyAlignment="1" applyBorder="1" applyFont="1">
      <alignment horizontal="center"/>
    </xf>
    <xf borderId="5" fillId="12" fontId="1" numFmtId="0" xfId="0" applyAlignment="1" applyBorder="1" applyFont="1">
      <alignment horizontal="center"/>
    </xf>
    <xf borderId="5" fillId="13" fontId="1" numFmtId="0" xfId="0" applyAlignment="1" applyBorder="1" applyFont="1">
      <alignment horizontal="center"/>
    </xf>
    <xf borderId="5" fillId="14" fontId="1" numFmtId="0" xfId="0" applyAlignment="1" applyBorder="1" applyFont="1">
      <alignment horizontal="center"/>
    </xf>
    <xf borderId="5" fillId="15" fontId="18" numFmtId="0" xfId="0" applyAlignment="1" applyBorder="1" applyFont="1">
      <alignment horizontal="center"/>
    </xf>
    <xf borderId="5" fillId="2" fontId="1" numFmtId="167" xfId="0" applyAlignment="1" applyBorder="1" applyFont="1" applyNumberFormat="1">
      <alignment horizontal="center"/>
    </xf>
    <xf borderId="5" fillId="2" fontId="18" numFmtId="0" xfId="0" applyBorder="1" applyFont="1"/>
    <xf borderId="3" fillId="2" fontId="18" numFmtId="0" xfId="0" applyBorder="1" applyFont="1"/>
    <xf borderId="5" fillId="18" fontId="15" numFmtId="0" xfId="0" applyAlignment="1" applyBorder="1" applyFont="1">
      <alignment vertical="center"/>
    </xf>
    <xf borderId="5" fillId="4" fontId="15" numFmtId="0" xfId="0" applyAlignment="1" applyBorder="1" applyFont="1">
      <alignment vertical="center"/>
    </xf>
    <xf borderId="25" fillId="5" fontId="15" numFmtId="0" xfId="0" applyAlignment="1" applyBorder="1" applyFont="1">
      <alignment vertical="center"/>
    </xf>
    <xf borderId="5" fillId="6" fontId="19" numFmtId="0" xfId="0" applyAlignment="1" applyBorder="1" applyFont="1">
      <alignment vertical="center"/>
    </xf>
    <xf borderId="20" fillId="7" fontId="15" numFmtId="0" xfId="0" applyAlignment="1" applyBorder="1" applyFont="1">
      <alignment vertical="center"/>
    </xf>
    <xf borderId="5" fillId="8" fontId="15" numFmtId="0" xfId="0" applyAlignment="1" applyBorder="1" applyFont="1">
      <alignment vertical="center"/>
    </xf>
    <xf borderId="5" fillId="9" fontId="15" numFmtId="0" xfId="0" applyAlignment="1" applyBorder="1" applyFont="1">
      <alignment vertical="center"/>
    </xf>
    <xf borderId="5" fillId="10" fontId="15" numFmtId="0" xfId="0" applyAlignment="1" applyBorder="1" applyFont="1">
      <alignment vertical="center"/>
    </xf>
    <xf borderId="5" fillId="11" fontId="15" numFmtId="0" xfId="0" applyAlignment="1" applyBorder="1" applyFont="1">
      <alignment vertical="center"/>
    </xf>
    <xf borderId="5" fillId="12" fontId="15" numFmtId="0" xfId="0" applyAlignment="1" applyBorder="1" applyFont="1">
      <alignment vertical="center"/>
    </xf>
    <xf borderId="5" fillId="13" fontId="15" numFmtId="0" xfId="0" applyAlignment="1" applyBorder="1" applyFont="1">
      <alignment vertical="center"/>
    </xf>
    <xf borderId="5" fillId="14" fontId="15" numFmtId="0" xfId="0" applyAlignment="1" applyBorder="1" applyFont="1">
      <alignment vertical="center"/>
    </xf>
    <xf borderId="5" fillId="2" fontId="15" numFmtId="0" xfId="0" applyAlignment="1" applyBorder="1" applyFont="1">
      <alignment vertical="center"/>
    </xf>
    <xf borderId="5" fillId="15" fontId="16" numFmtId="0" xfId="0" applyAlignment="1" applyBorder="1" applyFont="1">
      <alignment vertical="center"/>
    </xf>
    <xf borderId="5" fillId="2" fontId="1" numFmtId="0" xfId="0" applyAlignment="1" applyBorder="1" applyFont="1">
      <alignment vertical="center"/>
    </xf>
    <xf borderId="5" fillId="2" fontId="1" numFmtId="165" xfId="0" applyAlignment="1" applyBorder="1" applyFont="1" applyNumberFormat="1">
      <alignment vertical="center"/>
    </xf>
    <xf borderId="5" fillId="6" fontId="16" numFmtId="0" xfId="0" applyAlignment="1" applyBorder="1" applyFont="1">
      <alignment vertical="center"/>
    </xf>
    <xf borderId="5" fillId="2" fontId="4" numFmtId="164" xfId="0" applyAlignment="1" applyBorder="1" applyFont="1" applyNumberFormat="1">
      <alignment horizontal="center" vertical="center"/>
    </xf>
    <xf borderId="0" fillId="0" fontId="1" numFmtId="0" xfId="0" applyFont="1"/>
    <xf borderId="0" fillId="0" fontId="1" numFmtId="165" xfId="0" applyFont="1" applyNumberFormat="1"/>
    <xf borderId="28" fillId="2" fontId="20" numFmtId="0" xfId="0" applyAlignment="1" applyBorder="1" applyFont="1">
      <alignment horizontal="center"/>
    </xf>
    <xf borderId="29" fillId="0" fontId="3" numFmtId="0" xfId="0" applyBorder="1" applyFont="1"/>
    <xf borderId="30" fillId="0" fontId="3" numFmtId="0" xfId="0" applyBorder="1" applyFont="1"/>
    <xf borderId="5" fillId="5" fontId="4" numFmtId="0" xfId="0" applyAlignment="1" applyBorder="1" applyFont="1">
      <alignment vertical="center"/>
    </xf>
    <xf borderId="5" fillId="7" fontId="4" numFmtId="0" xfId="0" applyAlignment="1" applyBorder="1" applyFont="1">
      <alignment vertical="center"/>
    </xf>
    <xf borderId="5" fillId="5" fontId="1" numFmtId="0" xfId="0" applyAlignment="1" applyBorder="1" applyFont="1">
      <alignment horizontal="center"/>
    </xf>
    <xf borderId="5" fillId="7" fontId="1" numFmtId="0" xfId="0" applyAlignment="1" applyBorder="1" applyFont="1">
      <alignment horizontal="center"/>
    </xf>
    <xf borderId="1" fillId="2" fontId="21" numFmtId="0" xfId="0" applyAlignment="1" applyBorder="1" applyFont="1">
      <alignment horizontal="center"/>
    </xf>
    <xf borderId="5" fillId="5" fontId="15" numFmtId="0" xfId="0" applyAlignment="1" applyBorder="1" applyFont="1">
      <alignment vertical="center"/>
    </xf>
    <xf borderId="5" fillId="7" fontId="15" numFmtId="0" xfId="0" applyAlignment="1" applyBorder="1" applyFont="1">
      <alignment vertical="center"/>
    </xf>
    <xf borderId="5" fillId="15" fontId="19" numFmtId="0" xfId="0" applyAlignment="1" applyBorder="1" applyFont="1">
      <alignment vertical="center"/>
    </xf>
    <xf borderId="31" fillId="2" fontId="4" numFmtId="0" xfId="0" applyAlignment="1" applyBorder="1" applyFont="1">
      <alignment horizontal="center" shrinkToFit="0" vertical="center" wrapText="1"/>
    </xf>
    <xf borderId="32" fillId="2" fontId="4" numFmtId="0" xfId="0" applyAlignment="1" applyBorder="1" applyFont="1">
      <alignment horizontal="center"/>
    </xf>
    <xf borderId="15" fillId="2" fontId="4" numFmtId="0" xfId="0" applyAlignment="1" applyBorder="1" applyFont="1">
      <alignment horizontal="center" vertical="center"/>
    </xf>
    <xf borderId="15" fillId="2" fontId="4" numFmtId="164" xfId="0" applyAlignment="1" applyBorder="1" applyFont="1" applyNumberFormat="1">
      <alignment vertical="center"/>
    </xf>
    <xf borderId="15" fillId="18" fontId="15" numFmtId="0" xfId="0" applyAlignment="1" applyBorder="1" applyFont="1">
      <alignment vertical="center"/>
    </xf>
    <xf borderId="15" fillId="4" fontId="15" numFmtId="0" xfId="0" applyAlignment="1" applyBorder="1" applyFont="1">
      <alignment vertical="center"/>
    </xf>
    <xf borderId="15" fillId="5" fontId="15" numFmtId="0" xfId="0" applyAlignment="1" applyBorder="1" applyFont="1">
      <alignment vertical="center"/>
    </xf>
    <xf borderId="15" fillId="6" fontId="16" numFmtId="0" xfId="0" applyAlignment="1" applyBorder="1" applyFont="1">
      <alignment vertical="center"/>
    </xf>
    <xf borderId="15" fillId="7" fontId="15" numFmtId="0" xfId="0" applyAlignment="1" applyBorder="1" applyFont="1">
      <alignment vertical="center"/>
    </xf>
    <xf borderId="15" fillId="8" fontId="15" numFmtId="0" xfId="0" applyAlignment="1" applyBorder="1" applyFont="1">
      <alignment vertical="center"/>
    </xf>
    <xf borderId="15" fillId="9" fontId="15" numFmtId="0" xfId="0" applyAlignment="1" applyBorder="1" applyFont="1">
      <alignment vertical="center"/>
    </xf>
    <xf borderId="15" fillId="10" fontId="15" numFmtId="0" xfId="0" applyAlignment="1" applyBorder="1" applyFont="1">
      <alignment vertical="center"/>
    </xf>
    <xf borderId="15" fillId="11" fontId="15" numFmtId="0" xfId="0" applyAlignment="1" applyBorder="1" applyFont="1">
      <alignment vertical="center"/>
    </xf>
    <xf borderId="15" fillId="12" fontId="15" numFmtId="0" xfId="0" applyAlignment="1" applyBorder="1" applyFont="1">
      <alignment vertical="center"/>
    </xf>
    <xf borderId="15" fillId="13" fontId="15" numFmtId="0" xfId="0" applyAlignment="1" applyBorder="1" applyFont="1">
      <alignment vertical="center"/>
    </xf>
    <xf borderId="15" fillId="14" fontId="15" numFmtId="0" xfId="0" applyAlignment="1" applyBorder="1" applyFont="1">
      <alignment vertical="center"/>
    </xf>
    <xf borderId="15" fillId="2" fontId="15" numFmtId="0" xfId="0" applyAlignment="1" applyBorder="1" applyFont="1">
      <alignment vertical="center"/>
    </xf>
    <xf borderId="15" fillId="15" fontId="16" numFmtId="0" xfId="0" applyAlignment="1" applyBorder="1" applyFont="1">
      <alignment vertical="center"/>
    </xf>
    <xf borderId="15" fillId="2" fontId="1" numFmtId="0" xfId="0" applyAlignment="1" applyBorder="1" applyFont="1">
      <alignment vertical="center"/>
    </xf>
    <xf borderId="33" fillId="2" fontId="1" numFmtId="165" xfId="0" applyAlignment="1" applyBorder="1" applyFont="1" applyNumberFormat="1">
      <alignment vertical="center"/>
    </xf>
    <xf borderId="3" fillId="2" fontId="1" numFmtId="4" xfId="0" applyBorder="1" applyFont="1" applyNumberFormat="1"/>
    <xf borderId="31" fillId="2" fontId="4" numFmtId="0" xfId="0" applyAlignment="1" applyBorder="1" applyFont="1">
      <alignment horizontal="center" vertical="center"/>
    </xf>
    <xf borderId="13" fillId="2" fontId="4" numFmtId="0" xfId="0" applyAlignment="1" applyBorder="1" applyFont="1">
      <alignment horizontal="center" vertical="center"/>
    </xf>
    <xf borderId="14" fillId="2" fontId="1" numFmtId="165" xfId="0" applyAlignment="1" applyBorder="1" applyFont="1" applyNumberFormat="1">
      <alignment vertical="center"/>
    </xf>
    <xf borderId="5" fillId="2" fontId="22" numFmtId="0" xfId="0" applyAlignment="1" applyBorder="1" applyFont="1">
      <alignment horizontal="center" vertical="center"/>
    </xf>
    <xf borderId="5" fillId="0" fontId="4" numFmtId="165" xfId="0" applyAlignment="1" applyBorder="1" applyFont="1" applyNumberFormat="1">
      <alignment horizontal="center" vertical="center"/>
    </xf>
    <xf borderId="5" fillId="18" fontId="8" numFmtId="0" xfId="0" applyAlignment="1" applyBorder="1" applyFont="1">
      <alignment horizontal="center" vertical="center"/>
    </xf>
    <xf borderId="5" fillId="4" fontId="8" numFmtId="0" xfId="0" applyAlignment="1" applyBorder="1" applyFont="1">
      <alignment horizontal="center" vertical="center"/>
    </xf>
    <xf borderId="5" fillId="5" fontId="8" numFmtId="0" xfId="0" applyAlignment="1" applyBorder="1" applyFont="1">
      <alignment horizontal="center" vertical="center"/>
    </xf>
    <xf borderId="5" fillId="6" fontId="23" numFmtId="0" xfId="0" applyAlignment="1" applyBorder="1" applyFont="1">
      <alignment horizontal="center" vertical="center"/>
    </xf>
    <xf borderId="5" fillId="7" fontId="8" numFmtId="0" xfId="0" applyAlignment="1" applyBorder="1" applyFont="1">
      <alignment horizontal="center" vertical="center"/>
    </xf>
    <xf borderId="5" fillId="8" fontId="8" numFmtId="0" xfId="0" applyAlignment="1" applyBorder="1" applyFont="1">
      <alignment horizontal="center" vertical="center"/>
    </xf>
    <xf borderId="5" fillId="9" fontId="8" numFmtId="0" xfId="0" applyAlignment="1" applyBorder="1" applyFont="1">
      <alignment horizontal="center" vertical="center"/>
    </xf>
    <xf borderId="5" fillId="10" fontId="8" numFmtId="0" xfId="0" applyAlignment="1" applyBorder="1" applyFont="1">
      <alignment horizontal="center" vertical="center"/>
    </xf>
    <xf borderId="5" fillId="11" fontId="8" numFmtId="0" xfId="0" applyAlignment="1" applyBorder="1" applyFont="1">
      <alignment horizontal="center" vertical="center"/>
    </xf>
    <xf borderId="5" fillId="12" fontId="8" numFmtId="0" xfId="0" applyAlignment="1" applyBorder="1" applyFont="1">
      <alignment horizontal="center" vertical="center"/>
    </xf>
    <xf borderId="5" fillId="13" fontId="8" numFmtId="0" xfId="0" applyAlignment="1" applyBorder="1" applyFont="1">
      <alignment horizontal="center" vertical="center"/>
    </xf>
    <xf borderId="5" fillId="14" fontId="8" numFmtId="0" xfId="0" applyAlignment="1" applyBorder="1" applyFont="1">
      <alignment horizontal="center" vertical="center"/>
    </xf>
    <xf borderId="5" fillId="2" fontId="8" numFmtId="0" xfId="0" applyAlignment="1" applyBorder="1" applyFont="1">
      <alignment horizontal="center" vertical="center"/>
    </xf>
    <xf borderId="5" fillId="15" fontId="24" numFmtId="0" xfId="0" applyAlignment="1" applyBorder="1" applyFont="1">
      <alignment horizontal="center" vertical="center"/>
    </xf>
    <xf borderId="5" fillId="2" fontId="17" numFmtId="0" xfId="0" applyAlignment="1" applyBorder="1" applyFont="1">
      <alignment horizontal="center" vertical="center"/>
    </xf>
    <xf borderId="5" fillId="0" fontId="17" numFmtId="0" xfId="0" applyAlignment="1" applyBorder="1" applyFont="1">
      <alignment horizontal="center" vertical="center"/>
    </xf>
    <xf borderId="5" fillId="2" fontId="17" numFmtId="165" xfId="0" applyAlignment="1" applyBorder="1" applyFont="1" applyNumberFormat="1">
      <alignment horizontal="center" vertical="center"/>
    </xf>
    <xf borderId="5" fillId="6" fontId="24" numFmtId="0" xfId="0" applyAlignment="1" applyBorder="1" applyFont="1">
      <alignment horizontal="center" vertical="center"/>
    </xf>
    <xf borderId="15" fillId="18" fontId="8" numFmtId="0" xfId="0" applyAlignment="1" applyBorder="1" applyFont="1">
      <alignment horizontal="center" vertical="center"/>
    </xf>
    <xf borderId="15" fillId="4" fontId="8" numFmtId="0" xfId="0" applyAlignment="1" applyBorder="1" applyFont="1">
      <alignment horizontal="center" vertical="center"/>
    </xf>
    <xf borderId="15" fillId="5" fontId="8" numFmtId="0" xfId="0" applyAlignment="1" applyBorder="1" applyFont="1">
      <alignment horizontal="center" vertical="center"/>
    </xf>
    <xf borderId="15" fillId="6" fontId="24" numFmtId="0" xfId="0" applyAlignment="1" applyBorder="1" applyFont="1">
      <alignment horizontal="center" vertical="center"/>
    </xf>
    <xf borderId="15" fillId="7" fontId="8" numFmtId="0" xfId="0" applyAlignment="1" applyBorder="1" applyFont="1">
      <alignment horizontal="center" vertical="center"/>
    </xf>
    <xf borderId="15" fillId="8" fontId="8" numFmtId="0" xfId="0" applyAlignment="1" applyBorder="1" applyFont="1">
      <alignment horizontal="center" vertical="center"/>
    </xf>
    <xf borderId="15" fillId="9" fontId="8" numFmtId="0" xfId="0" applyAlignment="1" applyBorder="1" applyFont="1">
      <alignment horizontal="center" vertical="center"/>
    </xf>
    <xf borderId="15" fillId="10" fontId="8" numFmtId="0" xfId="0" applyAlignment="1" applyBorder="1" applyFont="1">
      <alignment horizontal="center" vertical="center"/>
    </xf>
    <xf borderId="15" fillId="11" fontId="8" numFmtId="0" xfId="0" applyAlignment="1" applyBorder="1" applyFont="1">
      <alignment horizontal="center" vertical="center"/>
    </xf>
    <xf borderId="15" fillId="12" fontId="8" numFmtId="0" xfId="0" applyAlignment="1" applyBorder="1" applyFont="1">
      <alignment horizontal="center" vertical="center"/>
    </xf>
    <xf borderId="15" fillId="13" fontId="8" numFmtId="0" xfId="0" applyAlignment="1" applyBorder="1" applyFont="1">
      <alignment horizontal="center" vertical="center"/>
    </xf>
    <xf borderId="15" fillId="14" fontId="8" numFmtId="0" xfId="0" applyAlignment="1" applyBorder="1" applyFont="1">
      <alignment horizontal="center" vertical="center"/>
    </xf>
    <xf borderId="15" fillId="2" fontId="8" numFmtId="0" xfId="0" applyAlignment="1" applyBorder="1" applyFont="1">
      <alignment horizontal="center" vertical="center"/>
    </xf>
    <xf borderId="15" fillId="15" fontId="24" numFmtId="0" xfId="0" applyAlignment="1" applyBorder="1" applyFont="1">
      <alignment horizontal="center" vertical="center"/>
    </xf>
    <xf borderId="15" fillId="2" fontId="17" numFmtId="0" xfId="0" applyAlignment="1" applyBorder="1" applyFont="1">
      <alignment horizontal="center" vertical="center"/>
    </xf>
    <xf borderId="33" fillId="2" fontId="17" numFmtId="165" xfId="0" applyAlignment="1" applyBorder="1" applyFont="1" applyNumberFormat="1">
      <alignment horizontal="center" vertical="center"/>
    </xf>
    <xf borderId="14" fillId="2" fontId="17" numFmtId="165" xfId="0" applyAlignment="1" applyBorder="1" applyFont="1" applyNumberFormat="1">
      <alignment horizontal="center" vertical="center"/>
    </xf>
    <xf borderId="18" fillId="0" fontId="1" numFmtId="0" xfId="0" applyAlignment="1" applyBorder="1" applyFont="1">
      <alignment horizontal="center"/>
    </xf>
    <xf borderId="18" fillId="0" fontId="4" numFmtId="165" xfId="0" applyAlignment="1" applyBorder="1" applyFont="1" applyNumberFormat="1">
      <alignment horizontal="center" vertical="center"/>
    </xf>
    <xf borderId="5" fillId="6" fontId="19" numFmtId="0" xfId="0" applyAlignment="1" applyBorder="1" applyFont="1">
      <alignment horizontal="center" vertical="center"/>
    </xf>
    <xf borderId="5" fillId="2" fontId="1" numFmtId="0" xfId="0" applyAlignment="1" applyBorder="1" applyFont="1">
      <alignment horizontal="center" vertical="center"/>
    </xf>
    <xf borderId="18" fillId="0" fontId="1" numFmtId="2" xfId="0" applyAlignment="1" applyBorder="1" applyFont="1" applyNumberFormat="1">
      <alignment horizontal="center" vertical="center"/>
    </xf>
    <xf borderId="5" fillId="0" fontId="1" numFmtId="0" xfId="0" applyAlignment="1" applyBorder="1" applyFont="1">
      <alignment horizontal="center" shrinkToFit="0" vertical="center" wrapText="1"/>
    </xf>
    <xf borderId="5" fillId="0" fontId="1" numFmtId="2" xfId="0" applyAlignment="1" applyBorder="1" applyFont="1" applyNumberFormat="1">
      <alignment horizontal="center" vertical="center"/>
    </xf>
    <xf borderId="5" fillId="0" fontId="1" numFmtId="0" xfId="0" applyAlignment="1" applyBorder="1" applyFont="1">
      <alignment horizontal="center"/>
    </xf>
    <xf borderId="5" fillId="0" fontId="8" numFmtId="0" xfId="0" applyAlignment="1" applyBorder="1" applyFont="1">
      <alignment horizontal="center" vertical="center"/>
    </xf>
    <xf borderId="5" fillId="0" fontId="25" numFmtId="0" xfId="0" applyAlignment="1" applyBorder="1" applyFont="1">
      <alignment horizontal="center" vertical="center"/>
    </xf>
    <xf borderId="5" fillId="0" fontId="26" numFmtId="0" xfId="0" applyAlignment="1" applyBorder="1" applyFont="1">
      <alignment horizontal="center" vertical="center"/>
    </xf>
    <xf borderId="5" fillId="0" fontId="4" numFmtId="164" xfId="0" applyAlignment="1" applyBorder="1" applyFont="1" applyNumberFormat="1">
      <alignment horizontal="center" vertical="center"/>
    </xf>
    <xf borderId="4" fillId="0" fontId="26" numFmtId="0" xfId="0" applyAlignment="1" applyBorder="1" applyFont="1">
      <alignment horizontal="center" vertical="center"/>
    </xf>
    <xf borderId="5" fillId="0" fontId="1" numFmtId="2" xfId="0" applyBorder="1" applyFont="1" applyNumberFormat="1"/>
    <xf borderId="4" fillId="18" fontId="4" numFmtId="0" xfId="0" applyAlignment="1" applyBorder="1" applyFont="1">
      <alignment shrinkToFit="0" vertical="center" wrapText="1"/>
    </xf>
    <xf borderId="4" fillId="4" fontId="4" numFmtId="0" xfId="0" applyAlignment="1" applyBorder="1" applyFont="1">
      <alignment vertical="center"/>
    </xf>
    <xf borderId="4" fillId="5" fontId="4" numFmtId="0" xfId="0" applyAlignment="1" applyBorder="1" applyFont="1">
      <alignment vertical="center"/>
    </xf>
    <xf borderId="4" fillId="6" fontId="5" numFmtId="0" xfId="0" applyAlignment="1" applyBorder="1" applyFont="1">
      <alignment vertical="center"/>
    </xf>
    <xf borderId="4" fillId="7" fontId="4" numFmtId="0" xfId="0" applyAlignment="1" applyBorder="1" applyFont="1">
      <alignment vertical="center"/>
    </xf>
    <xf borderId="4" fillId="8" fontId="4" numFmtId="0" xfId="0" applyAlignment="1" applyBorder="1" applyFont="1">
      <alignment vertical="center"/>
    </xf>
    <xf borderId="4" fillId="9" fontId="4" numFmtId="0" xfId="0" applyAlignment="1" applyBorder="1" applyFont="1">
      <alignment vertical="center"/>
    </xf>
    <xf borderId="4" fillId="10" fontId="4" numFmtId="0" xfId="0" applyAlignment="1" applyBorder="1" applyFont="1">
      <alignment vertical="center"/>
    </xf>
    <xf borderId="4" fillId="11" fontId="4" numFmtId="0" xfId="0" applyAlignment="1" applyBorder="1" applyFont="1">
      <alignment vertical="center"/>
    </xf>
    <xf borderId="4" fillId="12" fontId="4" numFmtId="0" xfId="0" applyAlignment="1" applyBorder="1" applyFont="1">
      <alignment vertical="center"/>
    </xf>
    <xf borderId="4" fillId="13" fontId="4" numFmtId="0" xfId="0" applyAlignment="1" applyBorder="1" applyFont="1">
      <alignment vertical="center"/>
    </xf>
    <xf borderId="4" fillId="14" fontId="4" numFmtId="0" xfId="0" applyAlignment="1" applyBorder="1" applyFont="1">
      <alignment vertical="center"/>
    </xf>
    <xf borderId="4" fillId="2" fontId="4" numFmtId="0" xfId="0" applyAlignment="1" applyBorder="1" applyFont="1">
      <alignment vertical="center"/>
    </xf>
    <xf borderId="4" fillId="15" fontId="5" numFmtId="0" xfId="0" applyAlignment="1" applyBorder="1" applyFont="1">
      <alignment vertical="center"/>
    </xf>
    <xf borderId="15" fillId="18" fontId="1" numFmtId="0" xfId="0" applyAlignment="1" applyBorder="1" applyFont="1">
      <alignment horizontal="center"/>
    </xf>
    <xf borderId="15" fillId="4" fontId="1" numFmtId="0" xfId="0" applyAlignment="1" applyBorder="1" applyFont="1">
      <alignment horizontal="center"/>
    </xf>
    <xf borderId="15" fillId="5" fontId="1" numFmtId="0" xfId="0" applyAlignment="1" applyBorder="1" applyFont="1">
      <alignment horizontal="center"/>
    </xf>
    <xf borderId="15" fillId="6" fontId="18" numFmtId="0" xfId="0" applyAlignment="1" applyBorder="1" applyFont="1">
      <alignment horizontal="center"/>
    </xf>
    <xf borderId="15" fillId="7" fontId="1" numFmtId="0" xfId="0" applyAlignment="1" applyBorder="1" applyFont="1">
      <alignment horizontal="center"/>
    </xf>
    <xf borderId="15" fillId="8" fontId="1" numFmtId="0" xfId="0" applyAlignment="1" applyBorder="1" applyFont="1">
      <alignment horizontal="center"/>
    </xf>
    <xf borderId="15" fillId="9" fontId="1" numFmtId="0" xfId="0" applyAlignment="1" applyBorder="1" applyFont="1">
      <alignment horizontal="center"/>
    </xf>
    <xf borderId="15" fillId="10" fontId="1" numFmtId="0" xfId="0" applyAlignment="1" applyBorder="1" applyFont="1">
      <alignment horizontal="center"/>
    </xf>
    <xf borderId="15" fillId="11" fontId="1" numFmtId="0" xfId="0" applyAlignment="1" applyBorder="1" applyFont="1">
      <alignment horizontal="center"/>
    </xf>
    <xf borderId="15" fillId="12" fontId="1" numFmtId="0" xfId="0" applyAlignment="1" applyBorder="1" applyFont="1">
      <alignment horizontal="center"/>
    </xf>
    <xf borderId="15" fillId="13" fontId="1" numFmtId="0" xfId="0" applyAlignment="1" applyBorder="1" applyFont="1">
      <alignment horizontal="center"/>
    </xf>
    <xf borderId="15" fillId="14" fontId="1" numFmtId="0" xfId="0" applyAlignment="1" applyBorder="1" applyFont="1">
      <alignment horizontal="center"/>
    </xf>
    <xf borderId="15" fillId="15" fontId="18" numFmtId="0" xfId="0" applyAlignment="1" applyBorder="1" applyFont="1">
      <alignment horizontal="center"/>
    </xf>
    <xf borderId="16" fillId="0" fontId="4" numFmtId="0" xfId="0" applyAlignment="1" applyBorder="1" applyFont="1">
      <alignment horizontal="center" vertical="center"/>
    </xf>
    <xf borderId="5" fillId="2" fontId="4" numFmtId="168" xfId="0" applyAlignment="1" applyBorder="1" applyFont="1" applyNumberFormat="1">
      <alignment vertical="center"/>
    </xf>
    <xf borderId="18" fillId="18" fontId="15" numFmtId="0" xfId="0" applyAlignment="1" applyBorder="1" applyFont="1">
      <alignment vertical="center"/>
    </xf>
    <xf borderId="18" fillId="4" fontId="15" numFmtId="0" xfId="0" applyAlignment="1" applyBorder="1" applyFont="1">
      <alignment vertical="center"/>
    </xf>
    <xf borderId="18" fillId="5" fontId="15" numFmtId="0" xfId="0" applyAlignment="1" applyBorder="1" applyFont="1">
      <alignment vertical="center"/>
    </xf>
    <xf borderId="18" fillId="6" fontId="16" numFmtId="0" xfId="0" applyAlignment="1" applyBorder="1" applyFont="1">
      <alignment vertical="center"/>
    </xf>
    <xf borderId="18" fillId="7" fontId="15" numFmtId="0" xfId="0" applyAlignment="1" applyBorder="1" applyFont="1">
      <alignment vertical="center"/>
    </xf>
    <xf borderId="18" fillId="8" fontId="15" numFmtId="0" xfId="0" applyAlignment="1" applyBorder="1" applyFont="1">
      <alignment vertical="center"/>
    </xf>
    <xf borderId="18" fillId="9" fontId="15" numFmtId="0" xfId="0" applyAlignment="1" applyBorder="1" applyFont="1">
      <alignment vertical="center"/>
    </xf>
    <xf borderId="18" fillId="10" fontId="15" numFmtId="0" xfId="0" applyAlignment="1" applyBorder="1" applyFont="1">
      <alignment vertical="center"/>
    </xf>
    <xf borderId="18" fillId="11" fontId="15" numFmtId="0" xfId="0" applyAlignment="1" applyBorder="1" applyFont="1">
      <alignment vertical="center"/>
    </xf>
    <xf borderId="18" fillId="12" fontId="15" numFmtId="0" xfId="0" applyAlignment="1" applyBorder="1" applyFont="1">
      <alignment vertical="center"/>
    </xf>
    <xf borderId="18" fillId="13" fontId="15" numFmtId="0" xfId="0" applyAlignment="1" applyBorder="1" applyFont="1">
      <alignment vertical="center"/>
    </xf>
    <xf borderId="18" fillId="14" fontId="15" numFmtId="0" xfId="0" applyAlignment="1" applyBorder="1" applyFont="1">
      <alignment vertical="center"/>
    </xf>
    <xf borderId="18" fillId="2" fontId="15" numFmtId="0" xfId="0" applyAlignment="1" applyBorder="1" applyFont="1">
      <alignment vertical="center"/>
    </xf>
    <xf borderId="18" fillId="15" fontId="16" numFmtId="0" xfId="0" applyAlignment="1" applyBorder="1" applyFont="1">
      <alignment vertical="center"/>
    </xf>
    <xf borderId="18" fillId="0" fontId="1" numFmtId="0" xfId="0" applyAlignment="1" applyBorder="1" applyFont="1">
      <alignment vertical="center"/>
    </xf>
    <xf borderId="34" fillId="0" fontId="1" numFmtId="0" xfId="0" applyAlignment="1" applyBorder="1" applyFont="1">
      <alignment vertical="center"/>
    </xf>
    <xf borderId="19" fillId="0" fontId="1" numFmtId="165" xfId="0" applyAlignment="1" applyBorder="1" applyFont="1" applyNumberFormat="1">
      <alignment vertical="center"/>
    </xf>
    <xf borderId="35" fillId="2" fontId="1" numFmtId="0" xfId="0" applyAlignment="1" applyBorder="1" applyFont="1">
      <alignment vertical="center"/>
    </xf>
    <xf borderId="10" fillId="0" fontId="1" numFmtId="0" xfId="0" applyAlignment="1" applyBorder="1" applyFont="1">
      <alignment vertical="center"/>
    </xf>
    <xf borderId="14" fillId="0" fontId="1" numFmtId="165" xfId="0" applyAlignment="1" applyBorder="1" applyFont="1" applyNumberFormat="1">
      <alignment vertical="center"/>
    </xf>
    <xf borderId="25" fillId="2" fontId="1" numFmtId="0" xfId="0" applyAlignment="1" applyBorder="1" applyFont="1">
      <alignment vertical="center"/>
    </xf>
    <xf borderId="5" fillId="19" fontId="15" numFmtId="0" xfId="0" applyAlignment="1" applyBorder="1" applyFont="1">
      <alignment vertical="center"/>
    </xf>
    <xf borderId="3" fillId="18" fontId="15" numFmtId="0" xfId="0" applyAlignment="1" applyBorder="1" applyFont="1">
      <alignment vertical="center"/>
    </xf>
    <xf borderId="20" fillId="2" fontId="4" numFmtId="0" xfId="0" applyAlignment="1" applyBorder="1" applyFont="1">
      <alignment horizontal="center" vertical="center"/>
    </xf>
    <xf borderId="21" fillId="2" fontId="4" numFmtId="0" xfId="0" applyAlignment="1" applyBorder="1" applyFont="1">
      <alignment horizontal="center" vertical="center"/>
    </xf>
    <xf borderId="23" fillId="18" fontId="15" numFmtId="0" xfId="0" applyAlignment="1" applyBorder="1" applyFont="1">
      <alignment vertical="center"/>
    </xf>
    <xf borderId="23" fillId="4" fontId="15" numFmtId="0" xfId="0" applyAlignment="1" applyBorder="1" applyFont="1">
      <alignment vertical="center"/>
    </xf>
    <xf borderId="23" fillId="5" fontId="15" numFmtId="0" xfId="0" applyAlignment="1" applyBorder="1" applyFont="1">
      <alignment vertical="center"/>
    </xf>
    <xf borderId="23" fillId="6" fontId="16" numFmtId="0" xfId="0" applyAlignment="1" applyBorder="1" applyFont="1">
      <alignment vertical="center"/>
    </xf>
    <xf borderId="23" fillId="7" fontId="15" numFmtId="0" xfId="0" applyAlignment="1" applyBorder="1" applyFont="1">
      <alignment vertical="center"/>
    </xf>
    <xf borderId="23" fillId="8" fontId="15" numFmtId="0" xfId="0" applyAlignment="1" applyBorder="1" applyFont="1">
      <alignment vertical="center"/>
    </xf>
    <xf borderId="23" fillId="9" fontId="15" numFmtId="0" xfId="0" applyAlignment="1" applyBorder="1" applyFont="1">
      <alignment vertical="center"/>
    </xf>
    <xf borderId="23" fillId="10" fontId="15" numFmtId="0" xfId="0" applyAlignment="1" applyBorder="1" applyFont="1">
      <alignment vertical="center"/>
    </xf>
    <xf borderId="23" fillId="11" fontId="15" numFmtId="0" xfId="0" applyAlignment="1" applyBorder="1" applyFont="1">
      <alignment vertical="center"/>
    </xf>
    <xf borderId="23" fillId="12" fontId="15" numFmtId="0" xfId="0" applyAlignment="1" applyBorder="1" applyFont="1">
      <alignment vertical="center"/>
    </xf>
    <xf borderId="23" fillId="13" fontId="15" numFmtId="0" xfId="0" applyAlignment="1" applyBorder="1" applyFont="1">
      <alignment vertical="center"/>
    </xf>
    <xf borderId="23" fillId="14" fontId="15" numFmtId="0" xfId="0" applyAlignment="1" applyBorder="1" applyFont="1">
      <alignment vertical="center"/>
    </xf>
    <xf borderId="23" fillId="2" fontId="15" numFmtId="0" xfId="0" applyAlignment="1" applyBorder="1" applyFont="1">
      <alignment vertical="center"/>
    </xf>
    <xf borderId="23" fillId="15" fontId="16" numFmtId="0" xfId="0" applyAlignment="1" applyBorder="1" applyFont="1">
      <alignment vertical="center"/>
    </xf>
    <xf borderId="23" fillId="2" fontId="1" numFmtId="0" xfId="0" applyAlignment="1" applyBorder="1" applyFont="1">
      <alignment vertical="center"/>
    </xf>
    <xf borderId="24" fillId="2" fontId="1" numFmtId="165" xfId="0" applyAlignment="1" applyBorder="1" applyFont="1" applyNumberFormat="1">
      <alignment vertical="center"/>
    </xf>
    <xf borderId="3" fillId="2" fontId="1" numFmtId="169" xfId="0" applyBorder="1" applyFont="1" applyNumberFormat="1"/>
    <xf borderId="5" fillId="2" fontId="1" numFmtId="0" xfId="0" applyBorder="1" applyFont="1"/>
    <xf borderId="5" fillId="2" fontId="1" numFmtId="165" xfId="0" applyBorder="1" applyFont="1" applyNumberFormat="1"/>
    <xf borderId="5" fillId="2" fontId="25" numFmtId="0" xfId="0" applyAlignment="1" applyBorder="1" applyFont="1">
      <alignment horizontal="center" shrinkToFit="0" vertical="center" wrapText="1"/>
    </xf>
    <xf borderId="5" fillId="0" fontId="8" numFmtId="0" xfId="0" applyAlignment="1" applyBorder="1" applyFont="1">
      <alignment horizontal="center"/>
    </xf>
    <xf borderId="5" fillId="0" fontId="25" numFmtId="0" xfId="0" applyAlignment="1" applyBorder="1" applyFont="1">
      <alignment horizontal="center" shrinkToFit="0" vertical="center" wrapText="1"/>
    </xf>
    <xf borderId="5" fillId="0" fontId="27" numFmtId="0" xfId="0" applyAlignment="1" applyBorder="1" applyFont="1">
      <alignment horizontal="center" shrinkToFit="0" vertical="center" wrapText="1"/>
    </xf>
    <xf borderId="5" fillId="0" fontId="4" numFmtId="164" xfId="0" applyAlignment="1" applyBorder="1" applyFont="1" applyNumberFormat="1">
      <alignment horizontal="center" readingOrder="0" vertical="center"/>
    </xf>
    <xf borderId="0" fillId="0" fontId="2" numFmtId="0" xfId="0" applyAlignment="1" applyFont="1">
      <alignment horizontal="center"/>
    </xf>
    <xf borderId="36" fillId="2" fontId="4" numFmtId="0" xfId="0" applyAlignment="1" applyBorder="1" applyFont="1">
      <alignment horizontal="center"/>
    </xf>
    <xf borderId="36" fillId="2" fontId="1" numFmtId="164" xfId="0" applyBorder="1" applyFont="1" applyNumberFormat="1"/>
    <xf borderId="36" fillId="2" fontId="1" numFmtId="0" xfId="0" applyBorder="1" applyFont="1"/>
    <xf borderId="36" fillId="2" fontId="18" numFmtId="0" xfId="0" applyBorder="1" applyFont="1"/>
    <xf borderId="36" fillId="2" fontId="1" numFmtId="167" xfId="0" applyBorder="1" applyFont="1" applyNumberFormat="1"/>
    <xf borderId="15" fillId="19" fontId="15" numFmtId="0" xfId="0" applyAlignment="1" applyBorder="1" applyFont="1">
      <alignment vertical="center"/>
    </xf>
    <xf borderId="16" fillId="2" fontId="4" numFmtId="0" xfId="0" applyAlignment="1" applyBorder="1" applyFont="1">
      <alignment horizontal="center" shrinkToFit="0" vertical="center" wrapText="1"/>
    </xf>
    <xf borderId="37" fillId="2" fontId="4" numFmtId="0" xfId="0" applyAlignment="1" applyBorder="1" applyFont="1">
      <alignment horizontal="center"/>
    </xf>
    <xf borderId="18" fillId="2" fontId="4" numFmtId="0" xfId="0" applyAlignment="1" applyBorder="1" applyFont="1">
      <alignment horizontal="center" vertical="center"/>
    </xf>
    <xf borderId="18" fillId="2" fontId="1" numFmtId="0" xfId="0" applyAlignment="1" applyBorder="1" applyFont="1">
      <alignment vertical="center"/>
    </xf>
    <xf borderId="19" fillId="2" fontId="1" numFmtId="165" xfId="0" applyAlignment="1" applyBorder="1" applyFont="1" applyNumberFormat="1">
      <alignment vertical="center"/>
    </xf>
    <xf borderId="38" fillId="2" fontId="4" numFmtId="0" xfId="0" applyAlignment="1" applyBorder="1" applyFont="1">
      <alignment horizontal="center" shrinkToFit="0" vertical="center" wrapText="1"/>
    </xf>
    <xf borderId="39" fillId="2" fontId="4" numFmtId="0" xfId="0" applyAlignment="1" applyBorder="1" applyFont="1">
      <alignment horizontal="center"/>
    </xf>
    <xf borderId="23" fillId="2" fontId="4" numFmtId="0" xfId="0" applyAlignment="1" applyBorder="1" applyFont="1">
      <alignment horizontal="center" vertical="center"/>
    </xf>
    <xf borderId="0" fillId="0" fontId="8" numFmtId="0" xfId="0" applyAlignment="1" applyFont="1">
      <alignment horizontal="center"/>
    </xf>
    <xf borderId="3" fillId="2" fontId="28" numFmtId="0" xfId="0" applyAlignment="1" applyBorder="1" applyFont="1">
      <alignment horizontal="center"/>
    </xf>
    <xf borderId="3" fillId="2" fontId="29" numFmtId="0" xfId="0" applyAlignment="1" applyBorder="1" applyFont="1">
      <alignment horizontal="center"/>
    </xf>
    <xf borderId="3" fillId="2" fontId="29" numFmtId="164" xfId="0" applyAlignment="1" applyBorder="1" applyFont="1" applyNumberFormat="1">
      <alignment horizontal="center"/>
    </xf>
    <xf borderId="4" fillId="18" fontId="4" numFmtId="0" xfId="0" applyAlignment="1" applyBorder="1" applyFont="1">
      <alignment vertical="center"/>
    </xf>
    <xf borderId="40" fillId="2" fontId="4" numFmtId="0" xfId="0" applyAlignment="1" applyBorder="1" applyFont="1">
      <alignment horizontal="center"/>
    </xf>
    <xf borderId="41" fillId="0" fontId="3" numFmtId="0" xfId="0" applyBorder="1" applyFont="1"/>
    <xf borderId="16" fillId="2" fontId="4" numFmtId="0" xfId="0" applyAlignment="1" applyBorder="1" applyFont="1">
      <alignment horizontal="center" vertical="center"/>
    </xf>
    <xf borderId="37" fillId="2" fontId="4" numFmtId="0" xfId="0" applyAlignment="1" applyBorder="1" applyFont="1">
      <alignment horizontal="center" vertical="center"/>
    </xf>
    <xf borderId="18" fillId="18" fontId="1" numFmtId="0" xfId="0" applyAlignment="1" applyBorder="1" applyFont="1">
      <alignment vertical="center"/>
    </xf>
    <xf borderId="18" fillId="4" fontId="1" numFmtId="0" xfId="0" applyAlignment="1" applyBorder="1" applyFont="1">
      <alignment vertical="center"/>
    </xf>
    <xf borderId="18" fillId="5" fontId="1" numFmtId="0" xfId="0" applyAlignment="1" applyBorder="1" applyFont="1">
      <alignment vertical="center"/>
    </xf>
    <xf borderId="18" fillId="6" fontId="18" numFmtId="0" xfId="0" applyAlignment="1" applyBorder="1" applyFont="1">
      <alignment vertical="center"/>
    </xf>
    <xf borderId="18" fillId="7" fontId="1" numFmtId="0" xfId="0" applyAlignment="1" applyBorder="1" applyFont="1">
      <alignment vertical="center"/>
    </xf>
    <xf borderId="18" fillId="8" fontId="1" numFmtId="0" xfId="0" applyAlignment="1" applyBorder="1" applyFont="1">
      <alignment vertical="center"/>
    </xf>
    <xf borderId="18" fillId="9" fontId="1" numFmtId="0" xfId="0" applyAlignment="1" applyBorder="1" applyFont="1">
      <alignment vertical="center"/>
    </xf>
    <xf borderId="18" fillId="10" fontId="1" numFmtId="0" xfId="0" applyAlignment="1" applyBorder="1" applyFont="1">
      <alignment vertical="center"/>
    </xf>
    <xf borderId="18" fillId="11" fontId="1" numFmtId="0" xfId="0" applyAlignment="1" applyBorder="1" applyFont="1">
      <alignment vertical="center"/>
    </xf>
    <xf borderId="18" fillId="12" fontId="1" numFmtId="0" xfId="0" applyAlignment="1" applyBorder="1" applyFont="1">
      <alignment vertical="center"/>
    </xf>
    <xf borderId="18" fillId="13" fontId="1" numFmtId="0" xfId="0" applyAlignment="1" applyBorder="1" applyFont="1">
      <alignment vertical="center"/>
    </xf>
    <xf borderId="18" fillId="14" fontId="1" numFmtId="0" xfId="0" applyAlignment="1" applyBorder="1" applyFont="1">
      <alignment vertical="center"/>
    </xf>
    <xf borderId="18" fillId="15" fontId="18" numFmtId="0" xfId="0" applyAlignment="1" applyBorder="1" applyFont="1">
      <alignment vertical="center"/>
    </xf>
    <xf borderId="5" fillId="18" fontId="1" numFmtId="0" xfId="0" applyAlignment="1" applyBorder="1" applyFont="1">
      <alignment vertical="center"/>
    </xf>
    <xf borderId="5" fillId="4" fontId="1" numFmtId="0" xfId="0" applyAlignment="1" applyBorder="1" applyFont="1">
      <alignment vertical="center"/>
    </xf>
    <xf borderId="5" fillId="5" fontId="1" numFmtId="0" xfId="0" applyAlignment="1" applyBorder="1" applyFont="1">
      <alignment vertical="center"/>
    </xf>
    <xf borderId="5" fillId="6" fontId="18" numFmtId="0" xfId="0" applyAlignment="1" applyBorder="1" applyFont="1">
      <alignment vertical="center"/>
    </xf>
    <xf borderId="5" fillId="7" fontId="1" numFmtId="0" xfId="0" applyAlignment="1" applyBorder="1" applyFont="1">
      <alignment vertical="center"/>
    </xf>
    <xf borderId="5" fillId="8" fontId="1" numFmtId="0" xfId="0" applyAlignment="1" applyBorder="1" applyFont="1">
      <alignment vertical="center"/>
    </xf>
    <xf borderId="5" fillId="9" fontId="1" numFmtId="0" xfId="0" applyAlignment="1" applyBorder="1" applyFont="1">
      <alignment vertical="center"/>
    </xf>
    <xf borderId="5" fillId="10" fontId="1" numFmtId="0" xfId="0" applyAlignment="1" applyBorder="1" applyFont="1">
      <alignment vertical="center"/>
    </xf>
    <xf borderId="5" fillId="11" fontId="1" numFmtId="0" xfId="0" applyAlignment="1" applyBorder="1" applyFont="1">
      <alignment vertical="center"/>
    </xf>
    <xf borderId="5" fillId="12" fontId="1" numFmtId="0" xfId="0" applyAlignment="1" applyBorder="1" applyFont="1">
      <alignment vertical="center"/>
    </xf>
    <xf borderId="5" fillId="13" fontId="1" numFmtId="0" xfId="0" applyAlignment="1" applyBorder="1" applyFont="1">
      <alignment vertical="center"/>
    </xf>
    <xf borderId="5" fillId="14" fontId="1" numFmtId="0" xfId="0" applyAlignment="1" applyBorder="1" applyFont="1">
      <alignment vertical="center"/>
    </xf>
    <xf borderId="5" fillId="15" fontId="18" numFmtId="0" xfId="0" applyAlignment="1" applyBorder="1" applyFont="1">
      <alignment vertical="center"/>
    </xf>
    <xf borderId="22" fillId="2" fontId="4" numFmtId="0" xfId="0" applyAlignment="1" applyBorder="1" applyFont="1">
      <alignment horizontal="center" vertical="center"/>
    </xf>
    <xf borderId="4" fillId="18" fontId="1" numFmtId="0" xfId="0" applyAlignment="1" applyBorder="1" applyFont="1">
      <alignment vertical="center"/>
    </xf>
    <xf borderId="4" fillId="4" fontId="1" numFmtId="0" xfId="0" applyAlignment="1" applyBorder="1" applyFont="1">
      <alignment vertical="center"/>
    </xf>
    <xf borderId="4" fillId="5" fontId="1" numFmtId="0" xfId="0" applyAlignment="1" applyBorder="1" applyFont="1">
      <alignment vertical="center"/>
    </xf>
    <xf borderId="4" fillId="6" fontId="18" numFmtId="0" xfId="0" applyAlignment="1" applyBorder="1" applyFont="1">
      <alignment vertical="center"/>
    </xf>
    <xf borderId="4" fillId="7" fontId="1" numFmtId="0" xfId="0" applyAlignment="1" applyBorder="1" applyFont="1">
      <alignment vertical="center"/>
    </xf>
    <xf borderId="4" fillId="8" fontId="1" numFmtId="0" xfId="0" applyAlignment="1" applyBorder="1" applyFont="1">
      <alignment vertical="center"/>
    </xf>
    <xf borderId="4" fillId="9" fontId="1" numFmtId="0" xfId="0" applyAlignment="1" applyBorder="1" applyFont="1">
      <alignment vertical="center"/>
    </xf>
    <xf borderId="4" fillId="10" fontId="1" numFmtId="0" xfId="0" applyAlignment="1" applyBorder="1" applyFont="1">
      <alignment vertical="center"/>
    </xf>
    <xf borderId="4" fillId="11" fontId="1" numFmtId="0" xfId="0" applyAlignment="1" applyBorder="1" applyFont="1">
      <alignment vertical="center"/>
    </xf>
    <xf borderId="4" fillId="12" fontId="1" numFmtId="0" xfId="0" applyAlignment="1" applyBorder="1" applyFont="1">
      <alignment vertical="center"/>
    </xf>
    <xf borderId="4" fillId="13" fontId="1" numFmtId="0" xfId="0" applyAlignment="1" applyBorder="1" applyFont="1">
      <alignment vertical="center"/>
    </xf>
    <xf borderId="4" fillId="14" fontId="1" numFmtId="0" xfId="0" applyAlignment="1" applyBorder="1" applyFont="1">
      <alignment vertical="center"/>
    </xf>
    <xf borderId="4" fillId="2" fontId="1" numFmtId="0" xfId="0" applyAlignment="1" applyBorder="1" applyFont="1">
      <alignment vertical="center"/>
    </xf>
    <xf borderId="4" fillId="15" fontId="18" numFmtId="0" xfId="0" applyAlignment="1" applyBorder="1" applyFont="1">
      <alignment vertical="center"/>
    </xf>
    <xf borderId="42" fillId="2" fontId="1" numFmtId="165" xfId="0" applyAlignment="1" applyBorder="1" applyFont="1" applyNumberFormat="1">
      <alignment vertical="center"/>
    </xf>
    <xf borderId="0" fillId="0" fontId="1" numFmtId="164" xfId="0" applyAlignment="1" applyFont="1" applyNumberFormat="1">
      <alignment horizontal="center"/>
    </xf>
    <xf borderId="15" fillId="2" fontId="1" numFmtId="0" xfId="0" applyBorder="1" applyFont="1"/>
    <xf borderId="15" fillId="2" fontId="1" numFmtId="165" xfId="0" applyBorder="1" applyFont="1" applyNumberFormat="1"/>
    <xf borderId="0" fillId="0" fontId="18" numFmtId="0" xfId="0" applyFont="1"/>
    <xf borderId="1" fillId="2" fontId="4" numFmtId="0" xfId="0" applyAlignment="1" applyBorder="1" applyFont="1">
      <alignment horizontal="center"/>
    </xf>
    <xf borderId="3" fillId="2" fontId="1" numFmtId="164" xfId="0" applyAlignment="1" applyBorder="1" applyFont="1" applyNumberFormat="1">
      <alignment horizontal="center"/>
    </xf>
    <xf borderId="3" fillId="2" fontId="1" numFmtId="165" xfId="0" applyBorder="1" applyFont="1" applyNumberFormat="1"/>
    <xf borderId="15" fillId="18" fontId="1" numFmtId="0" xfId="0" applyAlignment="1" applyBorder="1" applyFont="1">
      <alignment vertical="center"/>
    </xf>
    <xf borderId="15" fillId="4" fontId="1" numFmtId="0" xfId="0" applyAlignment="1" applyBorder="1" applyFont="1">
      <alignment vertical="center"/>
    </xf>
    <xf borderId="15" fillId="5" fontId="1" numFmtId="0" xfId="0" applyAlignment="1" applyBorder="1" applyFont="1">
      <alignment vertical="center"/>
    </xf>
    <xf borderId="15" fillId="6" fontId="18" numFmtId="0" xfId="0" applyAlignment="1" applyBorder="1" applyFont="1">
      <alignment vertical="center"/>
    </xf>
    <xf borderId="15" fillId="7" fontId="1" numFmtId="0" xfId="0" applyAlignment="1" applyBorder="1" applyFont="1">
      <alignment vertical="center"/>
    </xf>
    <xf borderId="15" fillId="8" fontId="1" numFmtId="0" xfId="0" applyAlignment="1" applyBorder="1" applyFont="1">
      <alignment vertical="center"/>
    </xf>
    <xf borderId="15" fillId="9" fontId="1" numFmtId="0" xfId="0" applyAlignment="1" applyBorder="1" applyFont="1">
      <alignment vertical="center"/>
    </xf>
    <xf borderId="15" fillId="10" fontId="1" numFmtId="0" xfId="0" applyAlignment="1" applyBorder="1" applyFont="1">
      <alignment vertical="center"/>
    </xf>
    <xf borderId="15" fillId="11" fontId="1" numFmtId="0" xfId="0" applyAlignment="1" applyBorder="1" applyFont="1">
      <alignment vertical="center"/>
    </xf>
    <xf borderId="15" fillId="12" fontId="1" numFmtId="0" xfId="0" applyAlignment="1" applyBorder="1" applyFont="1">
      <alignment vertical="center"/>
    </xf>
    <xf borderId="15" fillId="13" fontId="1" numFmtId="0" xfId="0" applyAlignment="1" applyBorder="1" applyFont="1">
      <alignment vertical="center"/>
    </xf>
    <xf borderId="15" fillId="14" fontId="1" numFmtId="0" xfId="0" applyAlignment="1" applyBorder="1" applyFont="1">
      <alignment vertical="center"/>
    </xf>
    <xf borderId="15" fillId="15" fontId="18" numFmtId="0" xfId="0" applyAlignment="1" applyBorder="1" applyFont="1">
      <alignment vertical="center"/>
    </xf>
    <xf borderId="26" fillId="2" fontId="1" numFmtId="0" xfId="0" applyBorder="1" applyFont="1"/>
    <xf borderId="7" fillId="0" fontId="1" numFmtId="0" xfId="0" applyBorder="1" applyFont="1"/>
    <xf borderId="7" fillId="2" fontId="1" numFmtId="0" xfId="0" applyBorder="1" applyFont="1"/>
    <xf borderId="9" fillId="2" fontId="1" numFmtId="165" xfId="0" applyBorder="1" applyFont="1" applyNumberFormat="1"/>
    <xf borderId="0" fillId="0" fontId="20" numFmtId="0" xfId="0" applyAlignment="1" applyFont="1">
      <alignment horizontal="center" readingOrder="0"/>
    </xf>
    <xf borderId="0" fillId="0" fontId="1" numFmtId="0" xfId="0" applyAlignment="1" applyFont="1">
      <alignment vertical="center"/>
    </xf>
    <xf borderId="7" fillId="18" fontId="4" numFmtId="0" xfId="0" applyAlignment="1" applyBorder="1" applyFont="1">
      <alignment horizontal="center"/>
    </xf>
    <xf borderId="7" fillId="4" fontId="4" numFmtId="0" xfId="0" applyAlignment="1" applyBorder="1" applyFont="1">
      <alignment horizontal="center"/>
    </xf>
    <xf borderId="7" fillId="5" fontId="4" numFmtId="0" xfId="0" applyAlignment="1" applyBorder="1" applyFont="1">
      <alignment horizontal="center"/>
    </xf>
    <xf borderId="7" fillId="6" fontId="5" numFmtId="0" xfId="0" applyAlignment="1" applyBorder="1" applyFont="1">
      <alignment horizontal="center"/>
    </xf>
    <xf borderId="7" fillId="10" fontId="4" numFmtId="0" xfId="0" applyAlignment="1" applyBorder="1" applyFont="1">
      <alignment horizontal="center"/>
    </xf>
    <xf borderId="7" fillId="11" fontId="6" numFmtId="0" xfId="0" applyAlignment="1" applyBorder="1" applyFont="1">
      <alignment horizontal="center"/>
    </xf>
    <xf borderId="7" fillId="15" fontId="5" numFmtId="0" xfId="0" applyAlignment="1" applyBorder="1" applyFont="1">
      <alignment horizontal="center"/>
    </xf>
    <xf borderId="7" fillId="16" fontId="4" numFmtId="0" xfId="0" applyAlignment="1" applyBorder="1" applyFont="1">
      <alignment horizontal="center"/>
    </xf>
    <xf borderId="7" fillId="2" fontId="4" numFmtId="0" xfId="0" applyAlignment="1" applyBorder="1" applyFont="1">
      <alignment horizontal="center"/>
    </xf>
    <xf borderId="0" fillId="0" fontId="4" numFmtId="0" xfId="0" applyFont="1"/>
    <xf borderId="43" fillId="0" fontId="30" numFmtId="0" xfId="0" applyAlignment="1" applyBorder="1" applyFont="1">
      <alignment horizontal="left" readingOrder="0" vertical="center"/>
    </xf>
    <xf borderId="44" fillId="0" fontId="3" numFmtId="0" xfId="0" applyBorder="1" applyFont="1"/>
    <xf borderId="45" fillId="0" fontId="31" numFmtId="0" xfId="0" applyAlignment="1" applyBorder="1" applyFont="1">
      <alignment horizontal="center" vertical="center"/>
    </xf>
    <xf borderId="45" fillId="0" fontId="32" numFmtId="0" xfId="0" applyAlignment="1" applyBorder="1" applyFont="1">
      <alignment horizontal="center" vertical="center"/>
    </xf>
    <xf borderId="45" fillId="0" fontId="3" numFmtId="0" xfId="0" applyBorder="1" applyFont="1"/>
    <xf borderId="46" fillId="0" fontId="17" numFmtId="164" xfId="0" applyAlignment="1" applyBorder="1" applyFont="1" applyNumberFormat="1">
      <alignment readingOrder="0" vertical="center"/>
    </xf>
    <xf borderId="46" fillId="18" fontId="31" numFmtId="0" xfId="0" applyAlignment="1" applyBorder="1" applyFont="1">
      <alignment horizontal="center" readingOrder="0" vertical="center"/>
    </xf>
    <xf borderId="46" fillId="4" fontId="31" numFmtId="0" xfId="0" applyAlignment="1" applyBorder="1" applyFont="1">
      <alignment horizontal="center" vertical="center"/>
    </xf>
    <xf borderId="46" fillId="5" fontId="31" numFmtId="0" xfId="0" applyAlignment="1" applyBorder="1" applyFont="1">
      <alignment horizontal="center" vertical="center"/>
    </xf>
    <xf borderId="46" fillId="6" fontId="33" numFmtId="0" xfId="0" applyAlignment="1" applyBorder="1" applyFont="1">
      <alignment horizontal="center" vertical="center"/>
    </xf>
    <xf borderId="46" fillId="10" fontId="31" numFmtId="0" xfId="0" applyAlignment="1" applyBorder="1" applyFont="1">
      <alignment horizontal="center" vertical="center"/>
    </xf>
    <xf borderId="46" fillId="11" fontId="33" numFmtId="0" xfId="0" applyAlignment="1" applyBorder="1" applyFont="1">
      <alignment horizontal="center" vertical="center"/>
    </xf>
    <xf borderId="46" fillId="15" fontId="33" numFmtId="0" xfId="0" applyAlignment="1" applyBorder="1" applyFont="1">
      <alignment horizontal="center" vertical="center"/>
    </xf>
    <xf borderId="46" fillId="16" fontId="31" numFmtId="0" xfId="0" applyAlignment="1" applyBorder="1" applyFont="1">
      <alignment horizontal="center" vertical="center"/>
    </xf>
    <xf borderId="46" fillId="0" fontId="31" numFmtId="0" xfId="0" applyAlignment="1" applyBorder="1" applyFont="1">
      <alignment horizontal="center" vertical="center"/>
    </xf>
    <xf borderId="46" fillId="0" fontId="17" numFmtId="0" xfId="0" applyAlignment="1" applyBorder="1" applyFont="1">
      <alignment horizontal="center" vertical="center"/>
    </xf>
    <xf borderId="47" fillId="0" fontId="17" numFmtId="165" xfId="0" applyAlignment="1" applyBorder="1" applyFont="1" applyNumberFormat="1">
      <alignment horizontal="center" vertical="center"/>
    </xf>
    <xf borderId="48" fillId="0" fontId="31" numFmtId="0" xfId="0" applyAlignment="1" applyBorder="1" applyFont="1">
      <alignment horizontal="center" readingOrder="0" shrinkToFit="0" vertical="center" wrapText="1"/>
    </xf>
    <xf borderId="49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readingOrder="0" vertical="center"/>
    </xf>
    <xf borderId="5" fillId="0" fontId="1" numFmtId="0" xfId="0" applyAlignment="1" applyBorder="1" applyFont="1">
      <alignment horizontal="center" readingOrder="0" shrinkToFit="0" vertical="center" wrapText="1"/>
    </xf>
    <xf borderId="5" fillId="0" fontId="4" numFmtId="0" xfId="0" applyAlignment="1" applyBorder="1" applyFont="1">
      <alignment horizontal="center" readingOrder="0" shrinkToFit="0" vertical="center" wrapText="1"/>
    </xf>
    <xf borderId="5" fillId="0" fontId="4" numFmtId="164" xfId="0" applyAlignment="1" applyBorder="1" applyFont="1" applyNumberFormat="1">
      <alignment readingOrder="0" vertical="center"/>
    </xf>
    <xf borderId="5" fillId="18" fontId="1" numFmtId="0" xfId="0" applyAlignment="1" applyBorder="1" applyFont="1">
      <alignment horizontal="center" vertical="center"/>
    </xf>
    <xf borderId="5" fillId="4" fontId="1" numFmtId="0" xfId="0" applyAlignment="1" applyBorder="1" applyFont="1">
      <alignment horizontal="center" vertical="center"/>
    </xf>
    <xf borderId="5" fillId="5" fontId="1" numFmtId="0" xfId="0" applyAlignment="1" applyBorder="1" applyFont="1">
      <alignment horizontal="center" vertical="center"/>
    </xf>
    <xf borderId="5" fillId="6" fontId="18" numFmtId="0" xfId="0" applyAlignment="1" applyBorder="1" applyFont="1">
      <alignment horizontal="center" vertical="center"/>
    </xf>
    <xf borderId="5" fillId="10" fontId="1" numFmtId="0" xfId="0" applyAlignment="1" applyBorder="1" applyFont="1">
      <alignment horizontal="center" vertical="center"/>
    </xf>
    <xf borderId="5" fillId="11" fontId="18" numFmtId="0" xfId="0" applyAlignment="1" applyBorder="1" applyFont="1">
      <alignment horizontal="center" vertical="center"/>
    </xf>
    <xf borderId="5" fillId="15" fontId="18" numFmtId="0" xfId="0" applyAlignment="1" applyBorder="1" applyFont="1">
      <alignment horizontal="center" vertical="center"/>
    </xf>
    <xf borderId="5" fillId="16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50" fillId="0" fontId="1" numFmtId="165" xfId="0" applyAlignment="1" applyBorder="1" applyFont="1" applyNumberFormat="1">
      <alignment horizontal="center" vertical="center"/>
    </xf>
    <xf borderId="51" fillId="0" fontId="3" numFmtId="0" xfId="0" applyBorder="1" applyFont="1"/>
    <xf borderId="5" fillId="10" fontId="1" numFmtId="0" xfId="0" applyAlignment="1" applyBorder="1" applyFont="1">
      <alignment horizontal="center" readingOrder="0" vertical="center"/>
    </xf>
    <xf borderId="52" fillId="0" fontId="3" numFmtId="0" xfId="0" applyBorder="1" applyFont="1"/>
    <xf borderId="49" fillId="0" fontId="22" numFmtId="0" xfId="0" applyAlignment="1" applyBorder="1" applyFont="1">
      <alignment horizontal="center" vertical="center"/>
    </xf>
    <xf borderId="53" fillId="0" fontId="31" numFmtId="0" xfId="0" applyAlignment="1" applyBorder="1" applyFont="1">
      <alignment horizontal="center" readingOrder="0" shrinkToFit="0" vertical="center" wrapText="1"/>
    </xf>
    <xf borderId="54" fillId="0" fontId="3" numFmtId="0" xfId="0" applyBorder="1" applyFont="1"/>
    <xf borderId="55" fillId="0" fontId="1" numFmtId="0" xfId="0" applyAlignment="1" applyBorder="1" applyFont="1">
      <alignment horizontal="center" shrinkToFit="0" vertical="center" wrapText="1"/>
    </xf>
    <xf borderId="55" fillId="0" fontId="4" numFmtId="0" xfId="0" applyAlignment="1" applyBorder="1" applyFont="1">
      <alignment horizontal="center" readingOrder="0" shrinkToFit="0" vertical="center" wrapText="1"/>
    </xf>
    <xf borderId="56" fillId="0" fontId="30" numFmtId="0" xfId="0" applyAlignment="1" applyBorder="1" applyFont="1">
      <alignment horizontal="center" readingOrder="0" shrinkToFit="0" vertical="center" wrapText="1"/>
    </xf>
    <xf borderId="57" fillId="0" fontId="3" numFmtId="0" xfId="0" applyBorder="1" applyFont="1"/>
    <xf borderId="58" fillId="0" fontId="17" numFmtId="0" xfId="0" applyAlignment="1" applyBorder="1" applyFont="1">
      <alignment horizontal="center" vertical="center"/>
    </xf>
    <xf borderId="58" fillId="0" fontId="34" numFmtId="0" xfId="0" applyAlignment="1" applyBorder="1" applyFont="1">
      <alignment horizontal="center" readingOrder="0" vertical="center"/>
    </xf>
    <xf borderId="58" fillId="0" fontId="3" numFmtId="0" xfId="0" applyBorder="1" applyFont="1"/>
    <xf borderId="59" fillId="0" fontId="17" numFmtId="164" xfId="0" applyAlignment="1" applyBorder="1" applyFont="1" applyNumberFormat="1">
      <alignment vertical="center"/>
    </xf>
    <xf borderId="59" fillId="18" fontId="17" numFmtId="0" xfId="0" applyAlignment="1" applyBorder="1" applyFont="1">
      <alignment horizontal="center" vertical="center"/>
    </xf>
    <xf borderId="59" fillId="4" fontId="17" numFmtId="0" xfId="0" applyAlignment="1" applyBorder="1" applyFont="1">
      <alignment horizontal="center" vertical="center"/>
    </xf>
    <xf borderId="59" fillId="5" fontId="17" numFmtId="0" xfId="0" applyAlignment="1" applyBorder="1" applyFont="1">
      <alignment horizontal="center" vertical="center"/>
    </xf>
    <xf borderId="59" fillId="6" fontId="35" numFmtId="0" xfId="0" applyAlignment="1" applyBorder="1" applyFont="1">
      <alignment horizontal="center" readingOrder="0" vertical="center"/>
    </xf>
    <xf borderId="59" fillId="10" fontId="17" numFmtId="0" xfId="0" applyAlignment="1" applyBorder="1" applyFont="1">
      <alignment horizontal="center" vertical="center"/>
    </xf>
    <xf borderId="59" fillId="11" fontId="36" numFmtId="0" xfId="0" applyAlignment="1" applyBorder="1" applyFont="1">
      <alignment horizontal="center" vertical="center"/>
    </xf>
    <xf borderId="59" fillId="15" fontId="36" numFmtId="0" xfId="0" applyAlignment="1" applyBorder="1" applyFont="1">
      <alignment horizontal="center" vertical="center"/>
    </xf>
    <xf borderId="59" fillId="16" fontId="17" numFmtId="0" xfId="0" applyAlignment="1" applyBorder="1" applyFont="1">
      <alignment horizontal="center" vertical="center"/>
    </xf>
    <xf borderId="59" fillId="0" fontId="17" numFmtId="0" xfId="0" applyAlignment="1" applyBorder="1" applyFont="1">
      <alignment horizontal="center" vertical="center"/>
    </xf>
    <xf borderId="60" fillId="0" fontId="17" numFmtId="165" xfId="0" applyAlignment="1" applyBorder="1" applyFont="1" applyNumberFormat="1">
      <alignment horizontal="center" vertical="center"/>
    </xf>
    <xf borderId="61" fillId="0" fontId="17" numFmtId="0" xfId="0" applyAlignment="1" applyBorder="1" applyFont="1">
      <alignment horizontal="center" shrinkToFit="0" vertical="center" wrapText="1"/>
    </xf>
    <xf borderId="52" fillId="0" fontId="1" numFmtId="0" xfId="0" applyBorder="1" applyFont="1"/>
    <xf borderId="52" fillId="0" fontId="1" numFmtId="0" xfId="0" applyAlignment="1" applyBorder="1" applyFont="1">
      <alignment horizontal="center" vertical="center"/>
    </xf>
    <xf borderId="52" fillId="0" fontId="4" numFmtId="0" xfId="0" applyAlignment="1" applyBorder="1" applyFont="1">
      <alignment horizontal="center" vertical="center"/>
    </xf>
    <xf borderId="52" fillId="0" fontId="4" numFmtId="164" xfId="0" applyAlignment="1" applyBorder="1" applyFont="1" applyNumberFormat="1">
      <alignment vertical="center"/>
    </xf>
    <xf borderId="15" fillId="18" fontId="1" numFmtId="0" xfId="0" applyAlignment="1" applyBorder="1" applyFont="1">
      <alignment horizontal="center" vertical="center"/>
    </xf>
    <xf borderId="15" fillId="4" fontId="1" numFmtId="0" xfId="0" applyAlignment="1" applyBorder="1" applyFont="1">
      <alignment horizontal="center" vertical="center"/>
    </xf>
    <xf borderId="15" fillId="5" fontId="1" numFmtId="0" xfId="0" applyAlignment="1" applyBorder="1" applyFont="1">
      <alignment horizontal="center" vertical="center"/>
    </xf>
    <xf borderId="15" fillId="6" fontId="18" numFmtId="0" xfId="0" applyAlignment="1" applyBorder="1" applyFont="1">
      <alignment horizontal="center" vertical="center"/>
    </xf>
    <xf borderId="15" fillId="10" fontId="1" numFmtId="0" xfId="0" applyAlignment="1" applyBorder="1" applyFont="1">
      <alignment horizontal="center" vertical="center"/>
    </xf>
    <xf borderId="15" fillId="11" fontId="18" numFmtId="0" xfId="0" applyAlignment="1" applyBorder="1" applyFont="1">
      <alignment horizontal="center" vertical="center"/>
    </xf>
    <xf borderId="15" fillId="15" fontId="18" numFmtId="0" xfId="0" applyAlignment="1" applyBorder="1" applyFont="1">
      <alignment horizontal="center" vertical="center"/>
    </xf>
    <xf borderId="15" fillId="16" fontId="1" numFmtId="0" xfId="0" applyAlignment="1" applyBorder="1" applyFont="1">
      <alignment horizontal="center" vertical="center"/>
    </xf>
    <xf borderId="62" fillId="0" fontId="1" numFmtId="165" xfId="0" applyAlignment="1" applyBorder="1" applyFont="1" applyNumberFormat="1">
      <alignment horizontal="center" vertical="center"/>
    </xf>
    <xf borderId="5" fillId="0" fontId="4" numFmtId="164" xfId="0" applyAlignment="1" applyBorder="1" applyFont="1" applyNumberFormat="1">
      <alignment vertical="center"/>
    </xf>
    <xf borderId="14" fillId="0" fontId="1" numFmtId="165" xfId="0" applyAlignment="1" applyBorder="1" applyFont="1" applyNumberFormat="1">
      <alignment horizontal="center" vertical="center"/>
    </xf>
    <xf borderId="5" fillId="0" fontId="22" numFmtId="0" xfId="0" applyAlignment="1" applyBorder="1" applyFont="1">
      <alignment horizontal="center" vertical="center"/>
    </xf>
    <xf borderId="56" fillId="0" fontId="30" numFmtId="0" xfId="0" applyAlignment="1" applyBorder="1" applyFont="1">
      <alignment horizontal="center" vertical="center"/>
    </xf>
    <xf borderId="59" fillId="0" fontId="17" numFmtId="164" xfId="0" applyAlignment="1" applyBorder="1" applyFont="1" applyNumberFormat="1">
      <alignment readingOrder="0" vertical="center"/>
    </xf>
    <xf borderId="59" fillId="6" fontId="36" numFmtId="0" xfId="0" applyAlignment="1" applyBorder="1" applyFont="1">
      <alignment horizontal="center" vertical="center"/>
    </xf>
    <xf borderId="59" fillId="0" fontId="1" numFmtId="0" xfId="0" applyAlignment="1" applyBorder="1" applyFont="1">
      <alignment horizontal="center" vertical="center"/>
    </xf>
    <xf borderId="61" fillId="0" fontId="37" numFmtId="0" xfId="0" applyAlignment="1" applyBorder="1" applyFont="1">
      <alignment horizontal="center" vertical="center"/>
    </xf>
    <xf borderId="52" fillId="0" fontId="22" numFmtId="0" xfId="0" applyAlignment="1" applyBorder="1" applyFont="1">
      <alignment horizontal="center" vertical="center"/>
    </xf>
    <xf borderId="5" fillId="6" fontId="38" numFmtId="0" xfId="0" applyAlignment="1" applyBorder="1" applyFont="1">
      <alignment horizontal="center" vertical="center"/>
    </xf>
    <xf borderId="5" fillId="11" fontId="38" numFmtId="0" xfId="0" applyAlignment="1" applyBorder="1" applyFont="1">
      <alignment horizontal="center" vertical="center"/>
    </xf>
    <xf borderId="5" fillId="15" fontId="38" numFmtId="0" xfId="0" applyAlignment="1" applyBorder="1" applyFont="1">
      <alignment horizontal="center" vertical="center"/>
    </xf>
    <xf borderId="56" fillId="0" fontId="39" numFmtId="0" xfId="0" applyAlignment="1" applyBorder="1" applyFont="1">
      <alignment horizontal="center" readingOrder="0" shrinkToFit="0" vertical="center" wrapText="1"/>
    </xf>
    <xf borderId="58" fillId="0" fontId="40" numFmtId="0" xfId="0" applyAlignment="1" applyBorder="1" applyFont="1">
      <alignment horizontal="center" readingOrder="0" vertical="center"/>
    </xf>
    <xf borderId="59" fillId="18" fontId="1" numFmtId="0" xfId="0" applyAlignment="1" applyBorder="1" applyFont="1">
      <alignment horizontal="center" vertical="center"/>
    </xf>
    <xf borderId="59" fillId="4" fontId="1" numFmtId="0" xfId="0" applyAlignment="1" applyBorder="1" applyFont="1">
      <alignment horizontal="center" vertical="center"/>
    </xf>
    <xf borderId="59" fillId="5" fontId="1" numFmtId="0" xfId="0" applyAlignment="1" applyBorder="1" applyFont="1">
      <alignment horizontal="center" readingOrder="0" vertical="center"/>
    </xf>
    <xf borderId="59" fillId="6" fontId="18" numFmtId="0" xfId="0" applyAlignment="1" applyBorder="1" applyFont="1">
      <alignment horizontal="center" vertical="center"/>
    </xf>
    <xf borderId="59" fillId="10" fontId="1" numFmtId="0" xfId="0" applyAlignment="1" applyBorder="1" applyFont="1">
      <alignment horizontal="center" vertical="center"/>
    </xf>
    <xf borderId="59" fillId="11" fontId="38" numFmtId="0" xfId="0" applyAlignment="1" applyBorder="1" applyFont="1">
      <alignment horizontal="center" readingOrder="0" vertical="center"/>
    </xf>
    <xf borderId="59" fillId="15" fontId="18" numFmtId="0" xfId="0" applyAlignment="1" applyBorder="1" applyFont="1">
      <alignment horizontal="center" vertical="center"/>
    </xf>
    <xf borderId="59" fillId="16" fontId="1" numFmtId="0" xfId="0" applyAlignment="1" applyBorder="1" applyFont="1">
      <alignment horizontal="center" vertical="center"/>
    </xf>
    <xf borderId="61" fillId="0" fontId="39" numFmtId="0" xfId="0" applyAlignment="1" applyBorder="1" applyFont="1">
      <alignment horizontal="center" readingOrder="0" shrinkToFit="0" vertical="center" wrapText="1"/>
    </xf>
    <xf borderId="52" fillId="0" fontId="1" numFmtId="0" xfId="0" applyAlignment="1" applyBorder="1" applyFont="1">
      <alignment horizontal="center" readingOrder="0" vertical="center"/>
    </xf>
    <xf borderId="52" fillId="0" fontId="1" numFmtId="0" xfId="0" applyAlignment="1" applyBorder="1" applyFont="1">
      <alignment horizontal="center" readingOrder="0" shrinkToFit="0" vertical="center" wrapText="1"/>
    </xf>
    <xf borderId="52" fillId="0" fontId="4" numFmtId="0" xfId="0" applyAlignment="1" applyBorder="1" applyFont="1">
      <alignment horizontal="center" readingOrder="0" shrinkToFit="0" vertical="center" wrapText="1"/>
    </xf>
    <xf borderId="52" fillId="0" fontId="4" numFmtId="164" xfId="0" applyAlignment="1" applyBorder="1" applyFont="1" applyNumberFormat="1">
      <alignment readingOrder="0" vertical="center"/>
    </xf>
    <xf borderId="15" fillId="6" fontId="38" numFmtId="0" xfId="0" applyAlignment="1" applyBorder="1" applyFont="1">
      <alignment horizontal="center" readingOrder="0" vertical="center"/>
    </xf>
    <xf borderId="15" fillId="11" fontId="38" numFmtId="0" xfId="0" applyAlignment="1" applyBorder="1" applyFont="1">
      <alignment horizontal="center" readingOrder="0" vertical="center"/>
    </xf>
    <xf borderId="15" fillId="18" fontId="1" numFmtId="0" xfId="0" applyAlignment="1" applyBorder="1" applyFont="1">
      <alignment horizontal="center" readingOrder="0" vertical="center"/>
    </xf>
    <xf borderId="63" fillId="0" fontId="1" numFmtId="0" xfId="0" applyAlignment="1" applyBorder="1" applyFont="1">
      <alignment horizontal="center" vertical="center"/>
    </xf>
    <xf borderId="63" fillId="0" fontId="1" numFmtId="165" xfId="0" applyAlignment="1" applyBorder="1" applyFont="1" applyNumberFormat="1">
      <alignment horizontal="center" vertical="center"/>
    </xf>
    <xf borderId="0" fillId="0" fontId="4" numFmtId="164" xfId="0" applyFont="1" applyNumberFormat="1"/>
    <xf borderId="0" fillId="0" fontId="8" numFmtId="164" xfId="0" applyAlignment="1" applyFont="1" applyNumberFormat="1">
      <alignment horizontal="center" readingOrder="0"/>
    </xf>
    <xf borderId="0" fillId="0" fontId="15" numFmtId="0" xfId="0" applyAlignment="1" applyFont="1">
      <alignment horizontal="center"/>
    </xf>
    <xf borderId="7" fillId="0" fontId="4" numFmtId="164" xfId="0" applyAlignment="1" applyBorder="1" applyFont="1" applyNumberFormat="1">
      <alignment horizontal="center" readingOrder="0"/>
    </xf>
    <xf borderId="8" fillId="0" fontId="4" numFmtId="164" xfId="0" applyAlignment="1" applyBorder="1" applyFont="1" applyNumberFormat="1">
      <alignment horizontal="center" readingOrder="0"/>
    </xf>
    <xf borderId="64" fillId="0" fontId="3" numFmtId="0" xfId="0" applyBorder="1" applyFont="1"/>
    <xf borderId="27" fillId="0" fontId="3" numFmtId="0" xfId="0" applyBorder="1" applyFont="1"/>
    <xf borderId="5" fillId="17" fontId="4" numFmtId="164" xfId="0" applyAlignment="1" applyBorder="1" applyFont="1" applyNumberFormat="1">
      <alignment horizontal="center" readingOrder="0"/>
    </xf>
    <xf borderId="0" fillId="0" fontId="4" numFmtId="164" xfId="0" applyAlignment="1" applyFont="1" applyNumberFormat="1">
      <alignment horizontal="center"/>
    </xf>
    <xf borderId="7" fillId="17" fontId="41" numFmtId="0" xfId="0" applyAlignment="1" applyBorder="1" applyFont="1">
      <alignment horizontal="center" readingOrder="0"/>
    </xf>
    <xf borderId="5" fillId="17" fontId="1" numFmtId="0" xfId="0" applyAlignment="1" applyBorder="1" applyFont="1">
      <alignment horizontal="center" vertical="center"/>
    </xf>
    <xf borderId="7" fillId="7" fontId="4" numFmtId="0" xfId="0" applyAlignment="1" applyBorder="1" applyFont="1">
      <alignment horizontal="center"/>
    </xf>
    <xf borderId="7" fillId="8" fontId="4" numFmtId="0" xfId="0" applyAlignment="1" applyBorder="1" applyFont="1">
      <alignment horizontal="center"/>
    </xf>
    <xf borderId="7" fillId="9" fontId="4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0" fillId="0" fontId="25" numFmtId="0" xfId="0" applyFont="1"/>
    <xf borderId="0" fillId="0" fontId="37" numFmtId="0" xfId="0" applyFont="1"/>
    <xf borderId="0" fillId="0" fontId="42" numFmtId="0" xfId="0" applyAlignment="1" applyFont="1">
      <alignment horizontal="center"/>
    </xf>
    <xf borderId="0" fillId="0" fontId="43" numFmtId="165" xfId="0" applyFont="1" applyNumberFormat="1"/>
    <xf borderId="0" fillId="0" fontId="31" numFmtId="164" xfId="0" applyFont="1" applyNumberFormat="1"/>
    <xf borderId="0" fillId="0" fontId="1" numFmtId="0" xfId="0" applyAlignment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5" fillId="0" fontId="25" numFmtId="0" xfId="0" applyAlignment="1" applyBorder="1" applyFont="1">
      <alignment readingOrder="0"/>
    </xf>
    <xf borderId="5" fillId="0" fontId="37" numFmtId="0" xfId="0" applyBorder="1" applyFont="1"/>
    <xf borderId="5" fillId="0" fontId="42" numFmtId="0" xfId="0" applyAlignment="1" applyBorder="1" applyFont="1">
      <alignment horizontal="center"/>
    </xf>
    <xf borderId="5" fillId="0" fontId="43" numFmtId="165" xfId="0" applyBorder="1" applyFont="1" applyNumberFormat="1"/>
    <xf borderId="5" fillId="0" fontId="31" numFmtId="166" xfId="0" applyBorder="1" applyFont="1" applyNumberFormat="1"/>
    <xf borderId="5" fillId="4" fontId="1" numFmtId="0" xfId="0" applyAlignment="1" applyBorder="1" applyFont="1">
      <alignment horizontal="center" readingOrder="0" vertical="center"/>
    </xf>
    <xf borderId="5" fillId="17" fontId="44" numFmtId="0" xfId="0" applyAlignment="1" applyBorder="1" applyFont="1">
      <alignment horizontal="center" vertical="center"/>
    </xf>
    <xf borderId="5" fillId="7" fontId="1" numFmtId="0" xfId="0" applyAlignment="1" applyBorder="1" applyFont="1">
      <alignment horizontal="center" vertical="center"/>
    </xf>
    <xf borderId="5" fillId="8" fontId="1" numFmtId="0" xfId="0" applyAlignment="1" applyBorder="1" applyFont="1">
      <alignment horizontal="center" readingOrder="0" vertical="center"/>
    </xf>
    <xf borderId="5" fillId="9" fontId="1" numFmtId="0" xfId="0" applyAlignment="1" applyBorder="1" applyFont="1">
      <alignment horizontal="center" vertical="center"/>
    </xf>
    <xf borderId="5" fillId="14" fontId="1" numFmtId="0" xfId="0" applyAlignment="1" applyBorder="1" applyFont="1">
      <alignment horizontal="center" vertical="center"/>
    </xf>
    <xf borderId="5" fillId="0" fontId="1" numFmtId="165" xfId="0" applyAlignment="1" applyBorder="1" applyFont="1" applyNumberFormat="1">
      <alignment horizontal="center" vertical="center"/>
    </xf>
    <xf borderId="65" fillId="0" fontId="25" numFmtId="0" xfId="0" applyAlignment="1" applyBorder="1" applyFont="1">
      <alignment readingOrder="0"/>
    </xf>
    <xf borderId="66" fillId="0" fontId="1" numFmtId="0" xfId="0" applyBorder="1" applyFont="1"/>
    <xf borderId="66" fillId="0" fontId="1" numFmtId="0" xfId="0" applyAlignment="1" applyBorder="1" applyFont="1">
      <alignment horizontal="center" vertical="center"/>
    </xf>
    <xf borderId="66" fillId="0" fontId="4" numFmtId="0" xfId="0" applyAlignment="1" applyBorder="1" applyFont="1">
      <alignment horizontal="center" readingOrder="0" vertical="center"/>
    </xf>
    <xf borderId="5" fillId="0" fontId="4" numFmtId="166" xfId="0" applyAlignment="1" applyBorder="1" applyFont="1" applyNumberFormat="1">
      <alignment readingOrder="0" vertical="center"/>
    </xf>
    <xf borderId="67" fillId="18" fontId="1" numFmtId="0" xfId="0" applyAlignment="1" applyBorder="1" applyFont="1">
      <alignment horizontal="center" vertical="center"/>
    </xf>
    <xf borderId="68" fillId="4" fontId="1" numFmtId="0" xfId="0" applyAlignment="1" applyBorder="1" applyFont="1">
      <alignment horizontal="center" readingOrder="0" vertical="center"/>
    </xf>
    <xf borderId="68" fillId="5" fontId="1" numFmtId="0" xfId="0" applyAlignment="1" applyBorder="1" applyFont="1">
      <alignment horizontal="center" vertical="center"/>
    </xf>
    <xf borderId="68" fillId="6" fontId="38" numFmtId="0" xfId="0" applyAlignment="1" applyBorder="1" applyFont="1">
      <alignment horizontal="center" vertical="center"/>
    </xf>
    <xf borderId="69" fillId="17" fontId="44" numFmtId="0" xfId="0" applyAlignment="1" applyBorder="1" applyFont="1">
      <alignment horizontal="center" vertical="center"/>
    </xf>
    <xf borderId="67" fillId="7" fontId="1" numFmtId="0" xfId="0" applyAlignment="1" applyBorder="1" applyFont="1">
      <alignment horizontal="center" readingOrder="0" vertical="center"/>
    </xf>
    <xf borderId="68" fillId="8" fontId="1" numFmtId="0" xfId="0" applyAlignment="1" applyBorder="1" applyFont="1">
      <alignment horizontal="center" vertical="center"/>
    </xf>
    <xf borderId="68" fillId="9" fontId="1" numFmtId="0" xfId="0" applyAlignment="1" applyBorder="1" applyFont="1">
      <alignment horizontal="center" vertical="center"/>
    </xf>
    <xf borderId="68" fillId="10" fontId="1" numFmtId="0" xfId="0" applyAlignment="1" applyBorder="1" applyFont="1">
      <alignment horizontal="center" readingOrder="0" vertical="center"/>
    </xf>
    <xf borderId="68" fillId="15" fontId="38" numFmtId="0" xfId="0" applyAlignment="1" applyBorder="1" applyFont="1">
      <alignment horizontal="center" readingOrder="0" vertical="center"/>
    </xf>
    <xf borderId="68" fillId="14" fontId="1" numFmtId="0" xfId="0" applyAlignment="1" applyBorder="1" applyFont="1">
      <alignment horizontal="center" vertical="center"/>
    </xf>
    <xf borderId="18" fillId="0" fontId="1" numFmtId="0" xfId="0" applyAlignment="1" applyBorder="1" applyFont="1">
      <alignment horizontal="center" vertical="center"/>
    </xf>
    <xf borderId="19" fillId="0" fontId="1" numFmtId="165" xfId="0" applyAlignment="1" applyBorder="1" applyFont="1" applyNumberFormat="1">
      <alignment horizontal="center" vertical="center"/>
    </xf>
    <xf borderId="16" fillId="0" fontId="37" numFmtId="0" xfId="0" applyAlignment="1" applyBorder="1" applyFont="1">
      <alignment horizontal="center" shrinkToFit="0" vertical="center" wrapText="1"/>
    </xf>
    <xf borderId="18" fillId="0" fontId="1" numFmtId="0" xfId="0" applyBorder="1" applyFont="1"/>
    <xf borderId="18" fillId="18" fontId="1" numFmtId="0" xfId="0" applyAlignment="1" applyBorder="1" applyFont="1">
      <alignment horizontal="center" vertical="center"/>
    </xf>
    <xf borderId="18" fillId="4" fontId="1" numFmtId="0" xfId="0" applyAlignment="1" applyBorder="1" applyFont="1">
      <alignment horizontal="center" readingOrder="0" vertical="center"/>
    </xf>
    <xf borderId="18" fillId="5" fontId="1" numFmtId="0" xfId="0" applyAlignment="1" applyBorder="1" applyFont="1">
      <alignment horizontal="center" vertical="center"/>
    </xf>
    <xf borderId="18" fillId="6" fontId="38" numFmtId="0" xfId="0" applyAlignment="1" applyBorder="1" applyFont="1">
      <alignment horizontal="center" vertical="center"/>
    </xf>
    <xf borderId="34" fillId="17" fontId="44" numFmtId="0" xfId="0" applyAlignment="1" applyBorder="1" applyFont="1">
      <alignment horizontal="center" readingOrder="0" vertical="center"/>
    </xf>
    <xf borderId="17" fillId="7" fontId="1" numFmtId="0" xfId="0" applyAlignment="1" applyBorder="1" applyFont="1">
      <alignment horizontal="center" vertical="center"/>
    </xf>
    <xf borderId="18" fillId="8" fontId="1" numFmtId="0" xfId="0" applyAlignment="1" applyBorder="1" applyFont="1">
      <alignment horizontal="center" readingOrder="0" vertical="center"/>
    </xf>
    <xf borderId="18" fillId="9" fontId="1" numFmtId="0" xfId="0" applyAlignment="1" applyBorder="1" applyFont="1">
      <alignment horizontal="center" vertical="center"/>
    </xf>
    <xf borderId="18" fillId="10" fontId="1" numFmtId="0" xfId="0" applyAlignment="1" applyBorder="1" applyFont="1">
      <alignment horizontal="center" readingOrder="0" vertical="center"/>
    </xf>
    <xf borderId="18" fillId="15" fontId="18" numFmtId="0" xfId="0" applyAlignment="1" applyBorder="1" applyFont="1">
      <alignment horizontal="center" vertical="center"/>
    </xf>
    <xf borderId="18" fillId="14" fontId="1" numFmtId="0" xfId="0" applyAlignment="1" applyBorder="1" applyFont="1">
      <alignment horizontal="center" vertical="center"/>
    </xf>
    <xf borderId="10" fillId="17" fontId="44" numFmtId="0" xfId="0" applyAlignment="1" applyBorder="1" applyFont="1">
      <alignment horizontal="center" vertical="center"/>
    </xf>
    <xf borderId="12" fillId="7" fontId="1" numFmtId="0" xfId="0" applyAlignment="1" applyBorder="1" applyFont="1">
      <alignment horizontal="center" vertical="center"/>
    </xf>
    <xf borderId="5" fillId="8" fontId="1" numFmtId="0" xfId="0" applyAlignment="1" applyBorder="1" applyFont="1">
      <alignment horizontal="center" vertical="center"/>
    </xf>
    <xf borderId="5" fillId="18" fontId="1" numFmtId="0" xfId="0" applyAlignment="1" applyBorder="1" applyFont="1">
      <alignment horizontal="center" readingOrder="0" vertical="center"/>
    </xf>
    <xf borderId="13" fillId="0" fontId="37" numFmtId="0" xfId="0" applyAlignment="1" applyBorder="1" applyFont="1">
      <alignment horizontal="center" shrinkToFit="0" vertical="center" wrapText="1"/>
    </xf>
    <xf borderId="65" fillId="0" fontId="31" numFmtId="0" xfId="0" applyAlignment="1" applyBorder="1" applyFont="1">
      <alignment horizontal="center" readingOrder="0" vertical="center"/>
    </xf>
    <xf borderId="7" fillId="0" fontId="1" numFmtId="0" xfId="0" applyAlignment="1" applyBorder="1" applyFont="1">
      <alignment horizontal="center" vertical="center"/>
    </xf>
    <xf borderId="8" fillId="0" fontId="4" numFmtId="0" xfId="0" applyAlignment="1" applyBorder="1" applyFont="1">
      <alignment horizontal="center" readingOrder="0" vertical="center"/>
    </xf>
    <xf borderId="7" fillId="0" fontId="17" numFmtId="164" xfId="0" applyAlignment="1" applyBorder="1" applyFont="1" applyNumberFormat="1">
      <alignment readingOrder="0" vertical="center"/>
    </xf>
    <xf borderId="7" fillId="18" fontId="1" numFmtId="0" xfId="0" applyAlignment="1" applyBorder="1" applyFont="1">
      <alignment horizontal="center" vertical="center"/>
    </xf>
    <xf borderId="7" fillId="4" fontId="1" numFmtId="0" xfId="0" applyAlignment="1" applyBorder="1" applyFont="1">
      <alignment horizontal="center" vertical="center"/>
    </xf>
    <xf borderId="7" fillId="5" fontId="1" numFmtId="0" xfId="0" applyAlignment="1" applyBorder="1" applyFont="1">
      <alignment horizontal="center" vertical="center"/>
    </xf>
    <xf borderId="7" fillId="6" fontId="18" numFmtId="0" xfId="0" applyAlignment="1" applyBorder="1" applyFont="1">
      <alignment horizontal="center" vertical="center"/>
    </xf>
    <xf borderId="8" fillId="17" fontId="44" numFmtId="0" xfId="0" applyAlignment="1" applyBorder="1" applyFont="1">
      <alignment horizontal="center" vertical="center"/>
    </xf>
    <xf borderId="27" fillId="7" fontId="1" numFmtId="0" xfId="0" applyAlignment="1" applyBorder="1" applyFont="1">
      <alignment horizontal="center" vertical="center"/>
    </xf>
    <xf borderId="7" fillId="8" fontId="1" numFmtId="0" xfId="0" applyAlignment="1" applyBorder="1" applyFont="1">
      <alignment horizontal="center" vertical="center"/>
    </xf>
    <xf borderId="7" fillId="9" fontId="1" numFmtId="0" xfId="0" applyAlignment="1" applyBorder="1" applyFont="1">
      <alignment horizontal="center" readingOrder="0" vertical="center"/>
    </xf>
    <xf borderId="7" fillId="10" fontId="1" numFmtId="0" xfId="0" applyAlignment="1" applyBorder="1" applyFont="1">
      <alignment horizontal="center" vertical="center"/>
    </xf>
    <xf borderId="7" fillId="15" fontId="18" numFmtId="0" xfId="0" applyAlignment="1" applyBorder="1" applyFont="1">
      <alignment horizontal="center" vertical="center"/>
    </xf>
    <xf borderId="7" fillId="14" fontId="1" numFmtId="0" xfId="0" applyAlignment="1" applyBorder="1" applyFont="1">
      <alignment horizontal="center" vertical="center"/>
    </xf>
    <xf borderId="61" fillId="0" fontId="37" numFmtId="0" xfId="0" applyAlignment="1" applyBorder="1" applyFont="1">
      <alignment horizontal="center" shrinkToFit="0" vertical="center" wrapText="1"/>
    </xf>
    <xf borderId="70" fillId="17" fontId="44" numFmtId="0" xfId="0" applyAlignment="1" applyBorder="1" applyFont="1">
      <alignment horizontal="center" vertical="center"/>
    </xf>
    <xf borderId="71" fillId="7" fontId="1" numFmtId="0" xfId="0" applyAlignment="1" applyBorder="1" applyFont="1">
      <alignment horizontal="center" vertical="center"/>
    </xf>
    <xf borderId="15" fillId="8" fontId="1" numFmtId="0" xfId="0" applyAlignment="1" applyBorder="1" applyFont="1">
      <alignment horizontal="center" readingOrder="0" vertical="center"/>
    </xf>
    <xf borderId="15" fillId="9" fontId="1" numFmtId="0" xfId="0" applyAlignment="1" applyBorder="1" applyFont="1">
      <alignment horizontal="center" vertical="center"/>
    </xf>
    <xf borderId="15" fillId="14" fontId="1" numFmtId="0" xfId="0" applyAlignment="1" applyBorder="1" applyFont="1">
      <alignment horizontal="center" vertical="center"/>
    </xf>
    <xf borderId="0" fillId="17" fontId="45" numFmtId="0" xfId="0" applyFont="1"/>
    <xf borderId="5" fillId="17" fontId="14" numFmtId="0" xfId="0" applyBorder="1" applyFont="1"/>
    <xf borderId="72" fillId="0" fontId="37" numFmtId="0" xfId="0" applyAlignment="1" applyBorder="1" applyFont="1">
      <alignment horizontal="center" readingOrder="0" vertical="center"/>
    </xf>
    <xf borderId="5" fillId="0" fontId="43" numFmtId="0" xfId="0" applyAlignment="1" applyBorder="1" applyFont="1">
      <alignment horizontal="center" vertical="center"/>
    </xf>
    <xf borderId="7" fillId="0" fontId="31" numFmtId="164" xfId="0" applyAlignment="1" applyBorder="1" applyFont="1" applyNumberFormat="1">
      <alignment vertical="center"/>
    </xf>
    <xf borderId="5" fillId="15" fontId="38" numFmtId="0" xfId="0" applyAlignment="1" applyBorder="1" applyFont="1">
      <alignment horizontal="center" readingOrder="0" vertical="center"/>
    </xf>
    <xf borderId="13" fillId="0" fontId="37" numFmtId="0" xfId="0" applyAlignment="1" applyBorder="1" applyFont="1">
      <alignment horizontal="center" readingOrder="0" shrinkToFit="0" vertical="center" wrapText="1"/>
    </xf>
    <xf borderId="12" fillId="7" fontId="1" numFmtId="0" xfId="0" applyAlignment="1" applyBorder="1" applyFont="1">
      <alignment horizontal="center" readingOrder="0" vertical="center"/>
    </xf>
    <xf borderId="5" fillId="2" fontId="18" numFmtId="0" xfId="0" applyAlignment="1" applyBorder="1" applyFont="1">
      <alignment horizontal="center" vertical="center"/>
    </xf>
    <xf borderId="12" fillId="2" fontId="1" numFmtId="0" xfId="0" applyAlignment="1" applyBorder="1" applyFont="1">
      <alignment horizontal="center" vertical="center"/>
    </xf>
    <xf borderId="5" fillId="0" fontId="9" numFmtId="0" xfId="0" applyAlignment="1" applyBorder="1" applyFont="1">
      <alignment horizontal="center" vertical="center"/>
    </xf>
    <xf borderId="4" fillId="0" fontId="1" numFmtId="0" xfId="0" applyBorder="1" applyFont="1"/>
    <xf borderId="4" fillId="0" fontId="1" numFmtId="0" xfId="0" applyAlignment="1" applyBorder="1" applyFont="1">
      <alignment horizontal="center" vertical="center"/>
    </xf>
    <xf borderId="4" fillId="0" fontId="4" numFmtId="0" xfId="0" applyAlignment="1" applyBorder="1" applyFont="1">
      <alignment horizontal="center" vertical="center"/>
    </xf>
    <xf borderId="4" fillId="0" fontId="4" numFmtId="164" xfId="0" applyAlignment="1" applyBorder="1" applyFont="1" applyNumberFormat="1">
      <alignment vertical="center"/>
    </xf>
    <xf borderId="4" fillId="18" fontId="1" numFmtId="0" xfId="0" applyAlignment="1" applyBorder="1" applyFont="1">
      <alignment horizontal="center" vertical="center"/>
    </xf>
    <xf borderId="4" fillId="4" fontId="1" numFmtId="0" xfId="0" applyAlignment="1" applyBorder="1" applyFont="1">
      <alignment horizontal="center" vertical="center"/>
    </xf>
    <xf borderId="4" fillId="5" fontId="1" numFmtId="0" xfId="0" applyAlignment="1" applyBorder="1" applyFont="1">
      <alignment horizontal="center" vertical="center"/>
    </xf>
    <xf borderId="4" fillId="6" fontId="18" numFmtId="0" xfId="0" applyAlignment="1" applyBorder="1" applyFont="1">
      <alignment horizontal="center" vertical="center"/>
    </xf>
    <xf borderId="73" fillId="17" fontId="44" numFmtId="0" xfId="0" applyAlignment="1" applyBorder="1" applyFont="1">
      <alignment horizontal="center" vertical="center"/>
    </xf>
    <xf borderId="74" fillId="7" fontId="1" numFmtId="0" xfId="0" applyAlignment="1" applyBorder="1" applyFont="1">
      <alignment horizontal="center" vertical="center"/>
    </xf>
    <xf borderId="4" fillId="8" fontId="1" numFmtId="0" xfId="0" applyAlignment="1" applyBorder="1" applyFont="1">
      <alignment horizontal="center" vertical="center"/>
    </xf>
    <xf borderId="4" fillId="9" fontId="1" numFmtId="0" xfId="0" applyAlignment="1" applyBorder="1" applyFont="1">
      <alignment horizontal="center" vertical="center"/>
    </xf>
    <xf borderId="4" fillId="10" fontId="1" numFmtId="0" xfId="0" applyAlignment="1" applyBorder="1" applyFont="1">
      <alignment horizontal="center" vertical="center"/>
    </xf>
    <xf borderId="4" fillId="15" fontId="18" numFmtId="0" xfId="0" applyAlignment="1" applyBorder="1" applyFont="1">
      <alignment horizontal="center" vertical="center"/>
    </xf>
    <xf borderId="4" fillId="14" fontId="1" numFmtId="0" xfId="0" applyAlignment="1" applyBorder="1" applyFont="1">
      <alignment horizontal="center" vertical="center"/>
    </xf>
    <xf borderId="75" fillId="0" fontId="1" numFmtId="0" xfId="0" applyBorder="1" applyFont="1"/>
    <xf borderId="76" fillId="0" fontId="1" numFmtId="0" xfId="0" applyBorder="1" applyFont="1"/>
    <xf borderId="75" fillId="0" fontId="1" numFmtId="165" xfId="0" applyBorder="1" applyFont="1" applyNumberFormat="1"/>
    <xf borderId="56" fillId="0" fontId="25" numFmtId="0" xfId="0" applyAlignment="1" applyBorder="1" applyFont="1">
      <alignment readingOrder="0"/>
    </xf>
    <xf borderId="58" fillId="0" fontId="1" numFmtId="0" xfId="0" applyBorder="1" applyFont="1"/>
    <xf borderId="58" fillId="0" fontId="1" numFmtId="0" xfId="0" applyAlignment="1" applyBorder="1" applyFont="1">
      <alignment horizontal="center" vertical="center"/>
    </xf>
    <xf borderId="58" fillId="0" fontId="4" numFmtId="0" xfId="0" applyAlignment="1" applyBorder="1" applyFont="1">
      <alignment horizontal="center" readingOrder="0" vertical="center"/>
    </xf>
    <xf borderId="59" fillId="0" fontId="17" numFmtId="166" xfId="0" applyAlignment="1" applyBorder="1" applyFont="1" applyNumberFormat="1">
      <alignment readingOrder="0" vertical="center"/>
    </xf>
    <xf borderId="57" fillId="18" fontId="1" numFmtId="0" xfId="0" applyAlignment="1" applyBorder="1" applyFont="1">
      <alignment horizontal="center" vertical="center"/>
    </xf>
    <xf borderId="59" fillId="4" fontId="1" numFmtId="0" xfId="0" applyAlignment="1" applyBorder="1" applyFont="1">
      <alignment horizontal="center" readingOrder="0" vertical="center"/>
    </xf>
    <xf borderId="59" fillId="5" fontId="1" numFmtId="0" xfId="0" applyAlignment="1" applyBorder="1" applyFont="1">
      <alignment horizontal="center" vertical="center"/>
    </xf>
    <xf borderId="59" fillId="6" fontId="38" numFmtId="0" xfId="0" applyAlignment="1" applyBorder="1" applyFont="1">
      <alignment horizontal="center" vertical="center"/>
    </xf>
    <xf borderId="77" fillId="17" fontId="44" numFmtId="0" xfId="0" applyAlignment="1" applyBorder="1" applyFont="1">
      <alignment horizontal="center" vertical="center"/>
    </xf>
    <xf borderId="57" fillId="7" fontId="1" numFmtId="0" xfId="0" applyAlignment="1" applyBorder="1" applyFont="1">
      <alignment horizontal="center" readingOrder="0" vertical="center"/>
    </xf>
    <xf borderId="59" fillId="8" fontId="1" numFmtId="0" xfId="0" applyAlignment="1" applyBorder="1" applyFont="1">
      <alignment horizontal="center" vertical="center"/>
    </xf>
    <xf borderId="59" fillId="9" fontId="1" numFmtId="0" xfId="0" applyAlignment="1" applyBorder="1" applyFont="1">
      <alignment horizontal="center" vertical="center"/>
    </xf>
    <xf borderId="59" fillId="10" fontId="1" numFmtId="0" xfId="0" applyAlignment="1" applyBorder="1" applyFont="1">
      <alignment horizontal="center" readingOrder="0" vertical="center"/>
    </xf>
    <xf borderId="59" fillId="15" fontId="38" numFmtId="0" xfId="0" applyAlignment="1" applyBorder="1" applyFont="1">
      <alignment horizontal="center" readingOrder="0" vertical="center"/>
    </xf>
    <xf borderId="59" fillId="14" fontId="1" numFmtId="0" xfId="0" applyAlignment="1" applyBorder="1" applyFont="1">
      <alignment horizontal="center" vertical="center"/>
    </xf>
    <xf borderId="60" fillId="0" fontId="1" numFmtId="165" xfId="0" applyAlignment="1" applyBorder="1" applyFont="1" applyNumberFormat="1">
      <alignment horizontal="center" vertical="center"/>
    </xf>
    <xf borderId="61" fillId="0" fontId="37" numFmtId="0" xfId="0" applyAlignment="1" applyBorder="1" applyFont="1">
      <alignment horizontal="center" readingOrder="0" shrinkToFit="0" vertical="center" wrapText="1"/>
    </xf>
    <xf borderId="52" fillId="18" fontId="1" numFmtId="0" xfId="0" applyAlignment="1" applyBorder="1" applyFont="1">
      <alignment horizontal="center" vertical="center"/>
    </xf>
    <xf borderId="52" fillId="4" fontId="1" numFmtId="0" xfId="0" applyAlignment="1" applyBorder="1" applyFont="1">
      <alignment horizontal="center" readingOrder="0" vertical="center"/>
    </xf>
    <xf borderId="52" fillId="5" fontId="1" numFmtId="0" xfId="0" applyAlignment="1" applyBorder="1" applyFont="1">
      <alignment horizontal="center" vertical="center"/>
    </xf>
    <xf borderId="52" fillId="6" fontId="38" numFmtId="0" xfId="0" applyAlignment="1" applyBorder="1" applyFont="1">
      <alignment horizontal="center" vertical="center"/>
    </xf>
    <xf borderId="78" fillId="17" fontId="44" numFmtId="0" xfId="0" applyAlignment="1" applyBorder="1" applyFont="1">
      <alignment horizontal="center" readingOrder="0" vertical="center"/>
    </xf>
    <xf borderId="79" fillId="7" fontId="1" numFmtId="0" xfId="0" applyAlignment="1" applyBorder="1" applyFont="1">
      <alignment horizontal="center" vertical="center"/>
    </xf>
    <xf borderId="52" fillId="8" fontId="1" numFmtId="0" xfId="0" applyAlignment="1" applyBorder="1" applyFont="1">
      <alignment horizontal="center" readingOrder="0" vertical="center"/>
    </xf>
    <xf borderId="52" fillId="9" fontId="1" numFmtId="0" xfId="0" applyAlignment="1" applyBorder="1" applyFont="1">
      <alignment horizontal="center" vertical="center"/>
    </xf>
    <xf borderId="52" fillId="10" fontId="1" numFmtId="0" xfId="0" applyAlignment="1" applyBorder="1" applyFont="1">
      <alignment horizontal="center" readingOrder="0" vertical="center"/>
    </xf>
    <xf borderId="52" fillId="15" fontId="18" numFmtId="0" xfId="0" applyAlignment="1" applyBorder="1" applyFont="1">
      <alignment horizontal="center" vertical="center"/>
    </xf>
    <xf borderId="52" fillId="14" fontId="1" numFmtId="0" xfId="0" applyAlignment="1" applyBorder="1" applyFont="1">
      <alignment horizontal="center" vertical="center"/>
    </xf>
    <xf borderId="16" fillId="0" fontId="37" numFmtId="0" xfId="0" applyAlignment="1" applyBorder="1" applyFont="1">
      <alignment horizontal="center" readingOrder="0" shrinkToFit="0" vertical="center" wrapText="1"/>
    </xf>
    <xf borderId="65" fillId="0" fontId="31" numFmtId="0" xfId="0" applyAlignment="1" applyBorder="1" applyFont="1">
      <alignment horizontal="center" vertical="center"/>
    </xf>
    <xf borderId="7" fillId="0" fontId="17" numFmtId="166" xfId="0" applyAlignment="1" applyBorder="1" applyFont="1" applyNumberFormat="1">
      <alignment readingOrder="0" vertical="center"/>
    </xf>
    <xf borderId="5" fillId="0" fontId="4" numFmtId="170" xfId="0" applyAlignment="1" applyBorder="1" applyFont="1" applyNumberFormat="1">
      <alignment vertical="center"/>
    </xf>
    <xf borderId="49" fillId="17" fontId="14" numFmtId="0" xfId="0" applyBorder="1" applyFont="1"/>
    <xf borderId="56" fillId="0" fontId="37" numFmtId="0" xfId="0" applyAlignment="1" applyBorder="1" applyFont="1">
      <alignment horizontal="center" vertical="center"/>
    </xf>
    <xf borderId="59" fillId="0" fontId="43" numFmtId="0" xfId="0" applyAlignment="1" applyBorder="1" applyFont="1">
      <alignment horizontal="center" vertical="center"/>
    </xf>
    <xf borderId="59" fillId="0" fontId="31" numFmtId="166" xfId="0" applyAlignment="1" applyBorder="1" applyFont="1" applyNumberFormat="1">
      <alignment vertical="center"/>
    </xf>
    <xf borderId="59" fillId="17" fontId="44" numFmtId="0" xfId="0" applyAlignment="1" applyBorder="1" applyFont="1">
      <alignment horizontal="center" vertical="center"/>
    </xf>
    <xf borderId="59" fillId="0" fontId="31" numFmtId="166" xfId="0" applyAlignment="1" applyBorder="1" applyFont="1" applyNumberFormat="1">
      <alignment readingOrder="0" vertical="center"/>
    </xf>
    <xf borderId="59" fillId="7" fontId="1" numFmtId="0" xfId="0" applyAlignment="1" applyBorder="1" applyFont="1">
      <alignment horizontal="center" vertical="center"/>
    </xf>
    <xf borderId="52" fillId="4" fontId="1" numFmtId="0" xfId="0" applyAlignment="1" applyBorder="1" applyFont="1">
      <alignment horizontal="center" vertical="center"/>
    </xf>
    <xf borderId="78" fillId="17" fontId="44" numFmtId="0" xfId="0" applyAlignment="1" applyBorder="1" applyFont="1">
      <alignment horizontal="center" vertical="center"/>
    </xf>
    <xf borderId="52" fillId="8" fontId="1" numFmtId="0" xfId="0" applyAlignment="1" applyBorder="1" applyFont="1">
      <alignment horizontal="center" vertical="center"/>
    </xf>
    <xf borderId="52" fillId="10" fontId="1" numFmtId="0" xfId="0" applyAlignment="1" applyBorder="1" applyFont="1">
      <alignment horizontal="center" vertical="center"/>
    </xf>
    <xf borderId="65" fillId="20" fontId="1" numFmtId="0" xfId="0" applyAlignment="1" applyBorder="1" applyFill="1" applyFont="1">
      <alignment horizontal="center"/>
    </xf>
    <xf borderId="80" fillId="0" fontId="3" numFmtId="0" xfId="0" applyBorder="1" applyFont="1"/>
    <xf borderId="81" fillId="21" fontId="31" numFmtId="0" xfId="0" applyAlignment="1" applyBorder="1" applyFill="1" applyFont="1">
      <alignment horizontal="center"/>
    </xf>
    <xf borderId="82" fillId="0" fontId="3" numFmtId="0" xfId="0" applyBorder="1" applyFont="1"/>
    <xf borderId="1" fillId="21" fontId="31" numFmtId="0" xfId="0" applyAlignment="1" applyBorder="1" applyFont="1">
      <alignment horizontal="center"/>
    </xf>
    <xf borderId="83" fillId="21" fontId="8" numFmtId="0" xfId="0" applyAlignment="1" applyBorder="1" applyFont="1">
      <alignment horizontal="center"/>
    </xf>
    <xf borderId="84" fillId="4" fontId="31" numFmtId="0" xfId="0" applyBorder="1" applyFont="1"/>
    <xf borderId="26" fillId="18" fontId="1" numFmtId="0" xfId="0" applyAlignment="1" applyBorder="1" applyFont="1">
      <alignment horizontal="center"/>
    </xf>
    <xf borderId="7" fillId="4" fontId="1" numFmtId="0" xfId="0" applyAlignment="1" applyBorder="1" applyFont="1">
      <alignment horizontal="center"/>
    </xf>
    <xf borderId="7" fillId="5" fontId="1" numFmtId="0" xfId="0" applyAlignment="1" applyBorder="1" applyFont="1">
      <alignment horizontal="center"/>
    </xf>
    <xf borderId="7" fillId="6" fontId="18" numFmtId="0" xfId="0" applyAlignment="1" applyBorder="1" applyFont="1">
      <alignment horizontal="center"/>
    </xf>
    <xf borderId="7" fillId="7" fontId="1" numFmtId="0" xfId="0" applyAlignment="1" applyBorder="1" applyFont="1">
      <alignment horizontal="center"/>
    </xf>
    <xf borderId="7" fillId="8" fontId="1" numFmtId="0" xfId="0" applyAlignment="1" applyBorder="1" applyFont="1">
      <alignment horizontal="center"/>
    </xf>
    <xf borderId="7" fillId="9" fontId="1" numFmtId="0" xfId="0" applyAlignment="1" applyBorder="1" applyFont="1">
      <alignment horizontal="center"/>
    </xf>
    <xf borderId="7" fillId="10" fontId="1" numFmtId="0" xfId="0" applyAlignment="1" applyBorder="1" applyFont="1">
      <alignment horizontal="center"/>
    </xf>
    <xf borderId="7" fillId="11" fontId="1" numFmtId="0" xfId="0" applyAlignment="1" applyBorder="1" applyFont="1">
      <alignment horizontal="center"/>
    </xf>
    <xf borderId="7" fillId="12" fontId="1" numFmtId="0" xfId="0" applyAlignment="1" applyBorder="1" applyFont="1">
      <alignment horizontal="center"/>
    </xf>
    <xf borderId="7" fillId="13" fontId="1" numFmtId="0" xfId="0" applyAlignment="1" applyBorder="1" applyFont="1">
      <alignment horizontal="center"/>
    </xf>
    <xf borderId="7" fillId="14" fontId="1" numFmtId="0" xfId="0" applyAlignment="1" applyBorder="1" applyFont="1">
      <alignment horizontal="center"/>
    </xf>
    <xf borderId="7" fillId="2" fontId="1" numFmtId="0" xfId="0" applyAlignment="1" applyBorder="1" applyFont="1">
      <alignment horizontal="center"/>
    </xf>
    <xf borderId="5" fillId="0" fontId="1" numFmtId="164" xfId="0" applyAlignment="1" applyBorder="1" applyFont="1" applyNumberFormat="1">
      <alignment horizontal="center"/>
    </xf>
    <xf borderId="85" fillId="0" fontId="3" numFmtId="0" xfId="0" applyBorder="1" applyFont="1"/>
    <xf borderId="5" fillId="18" fontId="4" numFmtId="0" xfId="0" applyAlignment="1" applyBorder="1" applyFont="1">
      <alignment horizontal="center"/>
    </xf>
    <xf borderId="5" fillId="4" fontId="4" numFmtId="0" xfId="0" applyAlignment="1" applyBorder="1" applyFont="1">
      <alignment horizontal="center"/>
    </xf>
    <xf borderId="5" fillId="5" fontId="4" numFmtId="0" xfId="0" applyAlignment="1" applyBorder="1" applyFont="1">
      <alignment horizontal="center"/>
    </xf>
    <xf borderId="5" fillId="6" fontId="5" numFmtId="0" xfId="0" applyAlignment="1" applyBorder="1" applyFont="1">
      <alignment horizontal="center"/>
    </xf>
    <xf borderId="84" fillId="22" fontId="31" numFmtId="0" xfId="0" applyBorder="1" applyFill="1" applyFont="1"/>
    <xf borderId="5" fillId="7" fontId="4" numFmtId="0" xfId="0" applyAlignment="1" applyBorder="1" applyFont="1">
      <alignment horizontal="center"/>
    </xf>
    <xf borderId="18" fillId="17" fontId="1" numFmtId="0" xfId="0" applyAlignment="1" applyBorder="1" applyFont="1">
      <alignment horizontal="center"/>
    </xf>
    <xf borderId="5" fillId="8" fontId="4" numFmtId="0" xfId="0" applyAlignment="1" applyBorder="1" applyFont="1">
      <alignment horizontal="center"/>
    </xf>
    <xf borderId="84" fillId="18" fontId="31" numFmtId="0" xfId="0" applyBorder="1" applyFont="1"/>
    <xf borderId="5" fillId="23" fontId="38" numFmtId="0" xfId="0" applyAlignment="1" applyBorder="1" applyFill="1" applyFont="1">
      <alignment horizontal="center"/>
    </xf>
    <xf borderId="5" fillId="22" fontId="1" numFmtId="0" xfId="0" applyAlignment="1" applyBorder="1" applyFont="1">
      <alignment horizontal="center"/>
    </xf>
    <xf borderId="5" fillId="16" fontId="1" numFmtId="0" xfId="0" applyAlignment="1" applyBorder="1" applyFont="1">
      <alignment horizontal="center"/>
    </xf>
    <xf borderId="5" fillId="17" fontId="1" numFmtId="0" xfId="0" applyAlignment="1" applyBorder="1" applyFont="1">
      <alignment horizontal="center"/>
    </xf>
    <xf borderId="5" fillId="15" fontId="1" numFmtId="0" xfId="0" applyAlignment="1" applyBorder="1" applyFont="1">
      <alignment horizontal="center"/>
    </xf>
    <xf borderId="5" fillId="9" fontId="4" numFmtId="0" xfId="0" applyAlignment="1" applyBorder="1" applyFont="1">
      <alignment horizontal="center"/>
    </xf>
    <xf borderId="0" fillId="0" fontId="31" numFmtId="0" xfId="0" applyFont="1"/>
    <xf borderId="3" fillId="17" fontId="1" numFmtId="0" xfId="0" applyAlignment="1" applyBorder="1" applyFont="1">
      <alignment horizontal="center"/>
    </xf>
    <xf borderId="3" fillId="17" fontId="18" numFmtId="0" xfId="0" applyAlignment="1" applyBorder="1" applyFont="1">
      <alignment horizontal="center"/>
    </xf>
    <xf borderId="5" fillId="10" fontId="4" numFmtId="0" xfId="0" applyAlignment="1" applyBorder="1" applyFont="1">
      <alignment horizontal="center"/>
    </xf>
    <xf borderId="84" fillId="24" fontId="31" numFmtId="0" xfId="0" applyBorder="1" applyFill="1" applyFont="1"/>
    <xf borderId="5" fillId="12" fontId="4" numFmtId="0" xfId="0" applyAlignment="1" applyBorder="1" applyFont="1">
      <alignment horizontal="center"/>
    </xf>
    <xf borderId="5" fillId="13" fontId="4" numFmtId="0" xfId="0" applyAlignment="1" applyBorder="1" applyFont="1">
      <alignment horizontal="center"/>
    </xf>
    <xf borderId="5" fillId="14" fontId="4" numFmtId="0" xfId="0" applyAlignment="1" applyBorder="1" applyFont="1">
      <alignment horizontal="center"/>
    </xf>
    <xf borderId="23" fillId="15" fontId="5" numFmtId="0" xfId="0" applyAlignment="1" applyBorder="1" applyFont="1">
      <alignment horizontal="center"/>
    </xf>
    <xf borderId="84" fillId="5" fontId="31" numFmtId="0" xfId="0" applyBorder="1" applyFont="1"/>
    <xf borderId="84" fillId="16" fontId="31" numFmtId="0" xfId="0" applyBorder="1" applyFont="1"/>
    <xf borderId="3" fillId="2" fontId="31" numFmtId="0" xfId="0" applyBorder="1" applyFont="1"/>
    <xf borderId="5" fillId="0" fontId="1" numFmtId="2" xfId="0" applyAlignment="1" applyBorder="1" applyFont="1" applyNumberFormat="1">
      <alignment horizontal="center"/>
    </xf>
    <xf borderId="84" fillId="13" fontId="31" numFmtId="0" xfId="0" applyBorder="1" applyFont="1"/>
    <xf borderId="84" fillId="2" fontId="31" numFmtId="0" xfId="0" applyAlignment="1" applyBorder="1" applyFont="1">
      <alignment readingOrder="0"/>
    </xf>
    <xf borderId="5" fillId="19" fontId="1" numFmtId="0" xfId="0" applyAlignment="1" applyBorder="1" applyFont="1">
      <alignment horizontal="center"/>
    </xf>
    <xf borderId="5" fillId="15" fontId="18" numFmtId="1" xfId="0" applyAlignment="1" applyBorder="1" applyFont="1" applyNumberFormat="1">
      <alignment horizontal="center"/>
    </xf>
    <xf borderId="0" fillId="2" fontId="1" numFmtId="0" xfId="0" applyAlignment="1" applyFont="1">
      <alignment horizontal="center"/>
    </xf>
    <xf borderId="84" fillId="0" fontId="31" numFmtId="0" xfId="0" applyAlignment="1" applyBorder="1" applyFont="1">
      <alignment readingOrder="0"/>
    </xf>
    <xf borderId="7" fillId="11" fontId="1" numFmtId="0" xfId="0" applyAlignment="1" applyBorder="1" applyFont="1">
      <alignment horizontal="center" readingOrder="0"/>
    </xf>
    <xf borderId="0" fillId="2" fontId="1" numFmtId="0" xfId="0" applyFont="1"/>
    <xf borderId="0" fillId="2" fontId="18" numFmtId="0" xfId="0" applyAlignment="1" applyFont="1">
      <alignment horizontal="center"/>
    </xf>
    <xf borderId="5" fillId="11" fontId="1" numFmtId="0" xfId="0" applyAlignment="1" applyBorder="1" applyFont="1">
      <alignment horizontal="center" readingOrder="0"/>
    </xf>
    <xf borderId="5" fillId="2" fontId="1" numFmtId="165" xfId="0" applyAlignment="1" applyBorder="1" applyFont="1" applyNumberFormat="1">
      <alignment horizontal="center"/>
    </xf>
    <xf borderId="65" fillId="0" fontId="31" numFmtId="0" xfId="0" applyBorder="1" applyFont="1"/>
    <xf borderId="5" fillId="5" fontId="46" numFmtId="0" xfId="0" applyAlignment="1" applyBorder="1" applyFont="1">
      <alignment horizontal="center"/>
    </xf>
    <xf borderId="0" fillId="0" fontId="39" numFmtId="0" xfId="0" applyAlignment="1" applyFont="1">
      <alignment horizontal="center"/>
    </xf>
    <xf borderId="65" fillId="0" fontId="1" numFmtId="0" xfId="0" applyAlignment="1" applyBorder="1" applyFont="1">
      <alignment horizontal="left"/>
    </xf>
    <xf borderId="65" fillId="0" fontId="1" numFmtId="0" xfId="0" applyBorder="1" applyFont="1"/>
    <xf borderId="86" fillId="0" fontId="1" numFmtId="0" xfId="0" applyAlignment="1" applyBorder="1" applyFont="1">
      <alignment horizontal="center"/>
    </xf>
    <xf borderId="87" fillId="0" fontId="3" numFmtId="0" xfId="0" applyBorder="1" applyFont="1"/>
    <xf borderId="49" fillId="0" fontId="1" numFmtId="0" xfId="0" applyBorder="1" applyFont="1"/>
    <xf borderId="10" fillId="0" fontId="1" numFmtId="0" xfId="0" applyAlignment="1" applyBorder="1" applyFont="1">
      <alignment horizontal="center"/>
    </xf>
    <xf borderId="73" fillId="0" fontId="1" numFmtId="0" xfId="0" applyAlignment="1" applyBorder="1" applyFont="1">
      <alignment horizontal="center"/>
    </xf>
    <xf borderId="74" fillId="0" fontId="3" numFmtId="0" xfId="0" applyBorder="1" applyFont="1"/>
    <xf borderId="88" fillId="0" fontId="31" numFmtId="0" xfId="0" applyBorder="1" applyFont="1"/>
    <xf borderId="66" fillId="0" fontId="31" numFmtId="0" xfId="0" applyBorder="1" applyFont="1"/>
    <xf borderId="66" fillId="0" fontId="4" numFmtId="165" xfId="0" applyAlignment="1" applyBorder="1" applyFont="1" applyNumberFormat="1">
      <alignment horizontal="center"/>
    </xf>
    <xf borderId="89" fillId="0" fontId="3" numFmtId="0" xfId="0" applyBorder="1" applyFont="1"/>
    <xf borderId="56" fillId="0" fontId="31" numFmtId="0" xfId="0" applyAlignment="1" applyBorder="1" applyFont="1">
      <alignment horizontal="center"/>
    </xf>
    <xf borderId="77" fillId="0" fontId="31" numFmtId="9" xfId="0" applyAlignment="1" applyBorder="1" applyFont="1" applyNumberFormat="1">
      <alignment horizontal="center"/>
    </xf>
    <xf borderId="58" fillId="0" fontId="4" numFmtId="165" xfId="0" applyAlignment="1" applyBorder="1" applyFont="1" applyNumberFormat="1">
      <alignment horizontal="center"/>
    </xf>
    <xf borderId="90" fillId="0" fontId="3" numFmtId="0" xfId="0" applyBorder="1" applyFont="1"/>
    <xf borderId="0" fillId="0" fontId="31" numFmtId="0" xfId="0" applyAlignment="1" applyFont="1">
      <alignment horizontal="center"/>
    </xf>
    <xf borderId="91" fillId="0" fontId="31" numFmtId="9" xfId="0" applyAlignment="1" applyBorder="1" applyFont="1" applyNumberFormat="1">
      <alignment horizontal="center"/>
    </xf>
    <xf borderId="92" fillId="0" fontId="3" numFmtId="0" xfId="0" applyBorder="1" applyFont="1"/>
    <xf borderId="0" fillId="0" fontId="4" numFmtId="165" xfId="0" applyAlignment="1" applyFont="1" applyNumberFormat="1">
      <alignment horizontal="center"/>
    </xf>
    <xf borderId="93" fillId="0" fontId="3" numFmtId="0" xfId="0" applyBorder="1" applyFont="1"/>
    <xf borderId="94" fillId="0" fontId="1" numFmtId="0" xfId="0" applyBorder="1" applyFont="1"/>
    <xf borderId="95" fillId="0" fontId="1" numFmtId="0" xfId="0" applyBorder="1" applyFont="1"/>
    <xf borderId="96" fillId="0" fontId="3" numFmtId="0" xfId="0" applyBorder="1" applyFont="1"/>
    <xf borderId="97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customschemas.google.com/relationships/workbookmetadata" Target="metadata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20" Type="http://schemas.openxmlformats.org/officeDocument/2006/relationships/image" Target="../media/image167.png"/><Relationship Id="rId22" Type="http://schemas.openxmlformats.org/officeDocument/2006/relationships/image" Target="../media/image171.png"/><Relationship Id="rId21" Type="http://schemas.openxmlformats.org/officeDocument/2006/relationships/image" Target="../media/image168.png"/><Relationship Id="rId24" Type="http://schemas.openxmlformats.org/officeDocument/2006/relationships/image" Target="../media/image179.png"/><Relationship Id="rId23" Type="http://schemas.openxmlformats.org/officeDocument/2006/relationships/image" Target="../media/image169.png"/><Relationship Id="rId1" Type="http://schemas.openxmlformats.org/officeDocument/2006/relationships/image" Target="../media/image151.jpg"/><Relationship Id="rId2" Type="http://schemas.openxmlformats.org/officeDocument/2006/relationships/image" Target="../media/image152.jpg"/><Relationship Id="rId3" Type="http://schemas.openxmlformats.org/officeDocument/2006/relationships/image" Target="../media/image149.png"/><Relationship Id="rId4" Type="http://schemas.openxmlformats.org/officeDocument/2006/relationships/image" Target="../media/image193.png"/><Relationship Id="rId9" Type="http://schemas.openxmlformats.org/officeDocument/2006/relationships/image" Target="../media/image158.png"/><Relationship Id="rId26" Type="http://schemas.openxmlformats.org/officeDocument/2006/relationships/image" Target="../media/image178.png"/><Relationship Id="rId25" Type="http://schemas.openxmlformats.org/officeDocument/2006/relationships/image" Target="../media/image176.png"/><Relationship Id="rId28" Type="http://schemas.openxmlformats.org/officeDocument/2006/relationships/image" Target="../media/image175.png"/><Relationship Id="rId27" Type="http://schemas.openxmlformats.org/officeDocument/2006/relationships/image" Target="../media/image220.png"/><Relationship Id="rId5" Type="http://schemas.openxmlformats.org/officeDocument/2006/relationships/image" Target="../media/image154.png"/><Relationship Id="rId6" Type="http://schemas.openxmlformats.org/officeDocument/2006/relationships/image" Target="../media/image155.png"/><Relationship Id="rId29" Type="http://schemas.openxmlformats.org/officeDocument/2006/relationships/image" Target="../media/image185.png"/><Relationship Id="rId7" Type="http://schemas.openxmlformats.org/officeDocument/2006/relationships/image" Target="../media/image159.png"/><Relationship Id="rId8" Type="http://schemas.openxmlformats.org/officeDocument/2006/relationships/image" Target="../media/image156.png"/><Relationship Id="rId31" Type="http://schemas.openxmlformats.org/officeDocument/2006/relationships/image" Target="../media/image177.png"/><Relationship Id="rId30" Type="http://schemas.openxmlformats.org/officeDocument/2006/relationships/image" Target="../media/image174.png"/><Relationship Id="rId11" Type="http://schemas.openxmlformats.org/officeDocument/2006/relationships/image" Target="../media/image182.png"/><Relationship Id="rId10" Type="http://schemas.openxmlformats.org/officeDocument/2006/relationships/image" Target="../media/image157.jpg"/><Relationship Id="rId32" Type="http://schemas.openxmlformats.org/officeDocument/2006/relationships/image" Target="../media/image195.png"/><Relationship Id="rId13" Type="http://schemas.openxmlformats.org/officeDocument/2006/relationships/image" Target="../media/image164.png"/><Relationship Id="rId12" Type="http://schemas.openxmlformats.org/officeDocument/2006/relationships/image" Target="../media/image282.png"/><Relationship Id="rId15" Type="http://schemas.openxmlformats.org/officeDocument/2006/relationships/image" Target="../media/image160.jpg"/><Relationship Id="rId14" Type="http://schemas.openxmlformats.org/officeDocument/2006/relationships/image" Target="../media/image166.png"/><Relationship Id="rId17" Type="http://schemas.openxmlformats.org/officeDocument/2006/relationships/image" Target="../media/image173.png"/><Relationship Id="rId16" Type="http://schemas.openxmlformats.org/officeDocument/2006/relationships/image" Target="../media/image161.png"/><Relationship Id="rId19" Type="http://schemas.openxmlformats.org/officeDocument/2006/relationships/image" Target="../media/image170.png"/><Relationship Id="rId18" Type="http://schemas.openxmlformats.org/officeDocument/2006/relationships/image" Target="../media/image165.png"/></Relationships>
</file>

<file path=xl/drawings/_rels/drawing1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23.png"/><Relationship Id="rId20" Type="http://schemas.openxmlformats.org/officeDocument/2006/relationships/image" Target="../media/image200.png"/><Relationship Id="rId42" Type="http://schemas.openxmlformats.org/officeDocument/2006/relationships/image" Target="../media/image225.jpg"/><Relationship Id="rId41" Type="http://schemas.openxmlformats.org/officeDocument/2006/relationships/image" Target="../media/image222.jpg"/><Relationship Id="rId22" Type="http://schemas.openxmlformats.org/officeDocument/2006/relationships/image" Target="../media/image201.png"/><Relationship Id="rId44" Type="http://schemas.openxmlformats.org/officeDocument/2006/relationships/image" Target="../media/image226.png"/><Relationship Id="rId21" Type="http://schemas.openxmlformats.org/officeDocument/2006/relationships/image" Target="../media/image206.png"/><Relationship Id="rId43" Type="http://schemas.openxmlformats.org/officeDocument/2006/relationships/image" Target="../media/image221.png"/><Relationship Id="rId24" Type="http://schemas.openxmlformats.org/officeDocument/2006/relationships/image" Target="../media/image204.png"/><Relationship Id="rId23" Type="http://schemas.openxmlformats.org/officeDocument/2006/relationships/image" Target="../media/image203.png"/><Relationship Id="rId45" Type="http://schemas.openxmlformats.org/officeDocument/2006/relationships/image" Target="../media/image227.png"/><Relationship Id="rId1" Type="http://schemas.openxmlformats.org/officeDocument/2006/relationships/image" Target="../media/image192.png"/><Relationship Id="rId2" Type="http://schemas.openxmlformats.org/officeDocument/2006/relationships/image" Target="../media/image180.png"/><Relationship Id="rId3" Type="http://schemas.openxmlformats.org/officeDocument/2006/relationships/image" Target="../media/image181.png"/><Relationship Id="rId4" Type="http://schemas.openxmlformats.org/officeDocument/2006/relationships/image" Target="../media/image186.png"/><Relationship Id="rId9" Type="http://schemas.openxmlformats.org/officeDocument/2006/relationships/image" Target="../media/image199.png"/><Relationship Id="rId26" Type="http://schemas.openxmlformats.org/officeDocument/2006/relationships/image" Target="../media/image207.png"/><Relationship Id="rId25" Type="http://schemas.openxmlformats.org/officeDocument/2006/relationships/image" Target="../media/image205.png"/><Relationship Id="rId28" Type="http://schemas.openxmlformats.org/officeDocument/2006/relationships/image" Target="../media/image208.png"/><Relationship Id="rId27" Type="http://schemas.openxmlformats.org/officeDocument/2006/relationships/image" Target="../media/image215.png"/><Relationship Id="rId5" Type="http://schemas.openxmlformats.org/officeDocument/2006/relationships/image" Target="../media/image216.png"/><Relationship Id="rId6" Type="http://schemas.openxmlformats.org/officeDocument/2006/relationships/image" Target="../media/image183.png"/><Relationship Id="rId29" Type="http://schemas.openxmlformats.org/officeDocument/2006/relationships/image" Target="../media/image213.png"/><Relationship Id="rId7" Type="http://schemas.openxmlformats.org/officeDocument/2006/relationships/image" Target="../media/image184.png"/><Relationship Id="rId8" Type="http://schemas.openxmlformats.org/officeDocument/2006/relationships/image" Target="../media/image188.png"/><Relationship Id="rId31" Type="http://schemas.openxmlformats.org/officeDocument/2006/relationships/image" Target="../media/image211.png"/><Relationship Id="rId30" Type="http://schemas.openxmlformats.org/officeDocument/2006/relationships/image" Target="../media/image212.jpg"/><Relationship Id="rId11" Type="http://schemas.openxmlformats.org/officeDocument/2006/relationships/image" Target="../media/image189.png"/><Relationship Id="rId33" Type="http://schemas.openxmlformats.org/officeDocument/2006/relationships/image" Target="../media/image214.png"/><Relationship Id="rId10" Type="http://schemas.openxmlformats.org/officeDocument/2006/relationships/image" Target="../media/image187.png"/><Relationship Id="rId32" Type="http://schemas.openxmlformats.org/officeDocument/2006/relationships/image" Target="../media/image209.png"/><Relationship Id="rId13" Type="http://schemas.openxmlformats.org/officeDocument/2006/relationships/image" Target="../media/image190.png"/><Relationship Id="rId35" Type="http://schemas.openxmlformats.org/officeDocument/2006/relationships/image" Target="../media/image217.png"/><Relationship Id="rId12" Type="http://schemas.openxmlformats.org/officeDocument/2006/relationships/image" Target="../media/image202.png"/><Relationship Id="rId34" Type="http://schemas.openxmlformats.org/officeDocument/2006/relationships/image" Target="../media/image210.png"/><Relationship Id="rId15" Type="http://schemas.openxmlformats.org/officeDocument/2006/relationships/image" Target="../media/image194.png"/><Relationship Id="rId37" Type="http://schemas.openxmlformats.org/officeDocument/2006/relationships/image" Target="../media/image224.png"/><Relationship Id="rId14" Type="http://schemas.openxmlformats.org/officeDocument/2006/relationships/image" Target="../media/image191.png"/><Relationship Id="rId36" Type="http://schemas.openxmlformats.org/officeDocument/2006/relationships/image" Target="../media/image228.png"/><Relationship Id="rId17" Type="http://schemas.openxmlformats.org/officeDocument/2006/relationships/image" Target="../media/image198.png"/><Relationship Id="rId39" Type="http://schemas.openxmlformats.org/officeDocument/2006/relationships/image" Target="../media/image218.png"/><Relationship Id="rId16" Type="http://schemas.openxmlformats.org/officeDocument/2006/relationships/image" Target="../media/image309.png"/><Relationship Id="rId38" Type="http://schemas.openxmlformats.org/officeDocument/2006/relationships/image" Target="../media/image219.png"/><Relationship Id="rId19" Type="http://schemas.openxmlformats.org/officeDocument/2006/relationships/image" Target="../media/image196.png"/><Relationship Id="rId18" Type="http://schemas.openxmlformats.org/officeDocument/2006/relationships/image" Target="../media/image197.png"/></Relationships>
</file>

<file path=xl/drawings/_rels/drawing12.xml.rels><?xml version="1.0" encoding="UTF-8" standalone="yes"?><Relationships xmlns="http://schemas.openxmlformats.org/package/2006/relationships"><Relationship Id="rId40" Type="http://schemas.openxmlformats.org/officeDocument/2006/relationships/image" Target="../media/image268.png"/><Relationship Id="rId20" Type="http://schemas.openxmlformats.org/officeDocument/2006/relationships/image" Target="../media/image241.png"/><Relationship Id="rId42" Type="http://schemas.openxmlformats.org/officeDocument/2006/relationships/image" Target="../media/image265.png"/><Relationship Id="rId41" Type="http://schemas.openxmlformats.org/officeDocument/2006/relationships/image" Target="../media/image266.png"/><Relationship Id="rId22" Type="http://schemas.openxmlformats.org/officeDocument/2006/relationships/image" Target="../media/image246.png"/><Relationship Id="rId44" Type="http://schemas.openxmlformats.org/officeDocument/2006/relationships/image" Target="../media/image271.png"/><Relationship Id="rId21" Type="http://schemas.openxmlformats.org/officeDocument/2006/relationships/image" Target="../media/image250.png"/><Relationship Id="rId43" Type="http://schemas.openxmlformats.org/officeDocument/2006/relationships/image" Target="../media/image276.png"/><Relationship Id="rId24" Type="http://schemas.openxmlformats.org/officeDocument/2006/relationships/image" Target="../media/image247.png"/><Relationship Id="rId46" Type="http://schemas.openxmlformats.org/officeDocument/2006/relationships/image" Target="../media/image279.png"/><Relationship Id="rId23" Type="http://schemas.openxmlformats.org/officeDocument/2006/relationships/image" Target="../media/image243.png"/><Relationship Id="rId45" Type="http://schemas.openxmlformats.org/officeDocument/2006/relationships/image" Target="../media/image288.png"/><Relationship Id="rId1" Type="http://schemas.openxmlformats.org/officeDocument/2006/relationships/image" Target="../media/image236.png"/><Relationship Id="rId2" Type="http://schemas.openxmlformats.org/officeDocument/2006/relationships/image" Target="../media/image230.png"/><Relationship Id="rId3" Type="http://schemas.openxmlformats.org/officeDocument/2006/relationships/image" Target="../media/image229.png"/><Relationship Id="rId4" Type="http://schemas.openxmlformats.org/officeDocument/2006/relationships/image" Target="../media/image257.png"/><Relationship Id="rId9" Type="http://schemas.openxmlformats.org/officeDocument/2006/relationships/image" Target="../media/image312.png"/><Relationship Id="rId26" Type="http://schemas.openxmlformats.org/officeDocument/2006/relationships/image" Target="../media/image251.png"/><Relationship Id="rId48" Type="http://schemas.openxmlformats.org/officeDocument/2006/relationships/image" Target="../media/image273.png"/><Relationship Id="rId25" Type="http://schemas.openxmlformats.org/officeDocument/2006/relationships/image" Target="../media/image245.png"/><Relationship Id="rId47" Type="http://schemas.openxmlformats.org/officeDocument/2006/relationships/image" Target="../media/image267.png"/><Relationship Id="rId28" Type="http://schemas.openxmlformats.org/officeDocument/2006/relationships/image" Target="../media/image252.png"/><Relationship Id="rId27" Type="http://schemas.openxmlformats.org/officeDocument/2006/relationships/image" Target="../media/image249.png"/><Relationship Id="rId5" Type="http://schemas.openxmlformats.org/officeDocument/2006/relationships/image" Target="../media/image248.png"/><Relationship Id="rId6" Type="http://schemas.openxmlformats.org/officeDocument/2006/relationships/image" Target="../media/image231.png"/><Relationship Id="rId29" Type="http://schemas.openxmlformats.org/officeDocument/2006/relationships/image" Target="../media/image254.png"/><Relationship Id="rId7" Type="http://schemas.openxmlformats.org/officeDocument/2006/relationships/image" Target="../media/image232.png"/><Relationship Id="rId8" Type="http://schemas.openxmlformats.org/officeDocument/2006/relationships/image" Target="../media/image235.png"/><Relationship Id="rId31" Type="http://schemas.openxmlformats.org/officeDocument/2006/relationships/image" Target="../media/image270.png"/><Relationship Id="rId30" Type="http://schemas.openxmlformats.org/officeDocument/2006/relationships/image" Target="../media/image272.png"/><Relationship Id="rId11" Type="http://schemas.openxmlformats.org/officeDocument/2006/relationships/image" Target="../media/image233.png"/><Relationship Id="rId33" Type="http://schemas.openxmlformats.org/officeDocument/2006/relationships/image" Target="../media/image263.png"/><Relationship Id="rId10" Type="http://schemas.openxmlformats.org/officeDocument/2006/relationships/image" Target="../media/image234.png"/><Relationship Id="rId32" Type="http://schemas.openxmlformats.org/officeDocument/2006/relationships/image" Target="../media/image255.png"/><Relationship Id="rId13" Type="http://schemas.openxmlformats.org/officeDocument/2006/relationships/image" Target="../media/image237.png"/><Relationship Id="rId35" Type="http://schemas.openxmlformats.org/officeDocument/2006/relationships/image" Target="../media/image259.png"/><Relationship Id="rId12" Type="http://schemas.openxmlformats.org/officeDocument/2006/relationships/image" Target="../media/image240.png"/><Relationship Id="rId34" Type="http://schemas.openxmlformats.org/officeDocument/2006/relationships/image" Target="../media/image258.png"/><Relationship Id="rId15" Type="http://schemas.openxmlformats.org/officeDocument/2006/relationships/image" Target="../media/image239.png"/><Relationship Id="rId37" Type="http://schemas.openxmlformats.org/officeDocument/2006/relationships/image" Target="../media/image261.png"/><Relationship Id="rId14" Type="http://schemas.openxmlformats.org/officeDocument/2006/relationships/image" Target="../media/image242.png"/><Relationship Id="rId36" Type="http://schemas.openxmlformats.org/officeDocument/2006/relationships/image" Target="../media/image260.png"/><Relationship Id="rId17" Type="http://schemas.openxmlformats.org/officeDocument/2006/relationships/image" Target="../media/image253.png"/><Relationship Id="rId39" Type="http://schemas.openxmlformats.org/officeDocument/2006/relationships/image" Target="../media/image262.png"/><Relationship Id="rId16" Type="http://schemas.openxmlformats.org/officeDocument/2006/relationships/image" Target="../media/image238.png"/><Relationship Id="rId38" Type="http://schemas.openxmlformats.org/officeDocument/2006/relationships/image" Target="../media/image264.png"/><Relationship Id="rId19" Type="http://schemas.openxmlformats.org/officeDocument/2006/relationships/image" Target="../media/image256.png"/><Relationship Id="rId18" Type="http://schemas.openxmlformats.org/officeDocument/2006/relationships/image" Target="../media/image244.png"/></Relationships>
</file>

<file path=xl/drawings/_rels/drawing13.xml.rels><?xml version="1.0" encoding="UTF-8" standalone="yes"?><Relationships xmlns="http://schemas.openxmlformats.org/package/2006/relationships"><Relationship Id="rId20" Type="http://schemas.openxmlformats.org/officeDocument/2006/relationships/image" Target="../media/image308.png"/><Relationship Id="rId22" Type="http://schemas.openxmlformats.org/officeDocument/2006/relationships/image" Target="../media/image291.png"/><Relationship Id="rId21" Type="http://schemas.openxmlformats.org/officeDocument/2006/relationships/image" Target="../media/image311.png"/><Relationship Id="rId24" Type="http://schemas.openxmlformats.org/officeDocument/2006/relationships/image" Target="../media/image293.png"/><Relationship Id="rId23" Type="http://schemas.openxmlformats.org/officeDocument/2006/relationships/image" Target="../media/image294.png"/><Relationship Id="rId1" Type="http://schemas.openxmlformats.org/officeDocument/2006/relationships/image" Target="../media/image269.png"/><Relationship Id="rId2" Type="http://schemas.openxmlformats.org/officeDocument/2006/relationships/image" Target="../media/image274.png"/><Relationship Id="rId3" Type="http://schemas.openxmlformats.org/officeDocument/2006/relationships/image" Target="../media/image305.png"/><Relationship Id="rId4" Type="http://schemas.openxmlformats.org/officeDocument/2006/relationships/image" Target="../media/image281.png"/><Relationship Id="rId9" Type="http://schemas.openxmlformats.org/officeDocument/2006/relationships/image" Target="../media/image283.png"/><Relationship Id="rId26" Type="http://schemas.openxmlformats.org/officeDocument/2006/relationships/image" Target="../media/image295.png"/><Relationship Id="rId25" Type="http://schemas.openxmlformats.org/officeDocument/2006/relationships/image" Target="../media/image297.png"/><Relationship Id="rId28" Type="http://schemas.openxmlformats.org/officeDocument/2006/relationships/image" Target="../media/image300.png"/><Relationship Id="rId27" Type="http://schemas.openxmlformats.org/officeDocument/2006/relationships/image" Target="../media/image299.png"/><Relationship Id="rId5" Type="http://schemas.openxmlformats.org/officeDocument/2006/relationships/image" Target="../media/image275.png"/><Relationship Id="rId6" Type="http://schemas.openxmlformats.org/officeDocument/2006/relationships/image" Target="../media/image278.png"/><Relationship Id="rId29" Type="http://schemas.openxmlformats.org/officeDocument/2006/relationships/image" Target="../media/image296.png"/><Relationship Id="rId7" Type="http://schemas.openxmlformats.org/officeDocument/2006/relationships/image" Target="../media/image298.png"/><Relationship Id="rId8" Type="http://schemas.openxmlformats.org/officeDocument/2006/relationships/image" Target="../media/image277.png"/><Relationship Id="rId31" Type="http://schemas.openxmlformats.org/officeDocument/2006/relationships/image" Target="../media/image306.png"/><Relationship Id="rId30" Type="http://schemas.openxmlformats.org/officeDocument/2006/relationships/image" Target="../media/image313.png"/><Relationship Id="rId11" Type="http://schemas.openxmlformats.org/officeDocument/2006/relationships/image" Target="../media/image304.png"/><Relationship Id="rId33" Type="http://schemas.openxmlformats.org/officeDocument/2006/relationships/image" Target="../media/image307.png"/><Relationship Id="rId10" Type="http://schemas.openxmlformats.org/officeDocument/2006/relationships/image" Target="../media/image286.png"/><Relationship Id="rId32" Type="http://schemas.openxmlformats.org/officeDocument/2006/relationships/image" Target="../media/image301.png"/><Relationship Id="rId13" Type="http://schemas.openxmlformats.org/officeDocument/2006/relationships/image" Target="../media/image310.png"/><Relationship Id="rId35" Type="http://schemas.openxmlformats.org/officeDocument/2006/relationships/image" Target="../media/image302.png"/><Relationship Id="rId12" Type="http://schemas.openxmlformats.org/officeDocument/2006/relationships/image" Target="../media/image280.png"/><Relationship Id="rId34" Type="http://schemas.openxmlformats.org/officeDocument/2006/relationships/image" Target="../media/image303.png"/><Relationship Id="rId15" Type="http://schemas.openxmlformats.org/officeDocument/2006/relationships/image" Target="../media/image289.png"/><Relationship Id="rId14" Type="http://schemas.openxmlformats.org/officeDocument/2006/relationships/image" Target="../media/image290.png"/><Relationship Id="rId17" Type="http://schemas.openxmlformats.org/officeDocument/2006/relationships/image" Target="../media/image284.png"/><Relationship Id="rId16" Type="http://schemas.openxmlformats.org/officeDocument/2006/relationships/image" Target="../media/image285.png"/><Relationship Id="rId19" Type="http://schemas.openxmlformats.org/officeDocument/2006/relationships/image" Target="../media/image292.png"/><Relationship Id="rId18" Type="http://schemas.openxmlformats.org/officeDocument/2006/relationships/image" Target="../media/image287.png"/></Relationships>
</file>

<file path=xl/drawings/_rels/drawing14.xml.rels><?xml version="1.0" encoding="UTF-8" standalone="yes"?><Relationships xmlns="http://schemas.openxmlformats.org/package/2006/relationships"><Relationship Id="rId20" Type="http://schemas.openxmlformats.org/officeDocument/2006/relationships/image" Target="../media/image308.png"/><Relationship Id="rId22" Type="http://schemas.openxmlformats.org/officeDocument/2006/relationships/image" Target="../media/image291.png"/><Relationship Id="rId21" Type="http://schemas.openxmlformats.org/officeDocument/2006/relationships/image" Target="../media/image311.png"/><Relationship Id="rId24" Type="http://schemas.openxmlformats.org/officeDocument/2006/relationships/image" Target="../media/image293.png"/><Relationship Id="rId23" Type="http://schemas.openxmlformats.org/officeDocument/2006/relationships/image" Target="../media/image294.png"/><Relationship Id="rId1" Type="http://schemas.openxmlformats.org/officeDocument/2006/relationships/image" Target="../media/image269.png"/><Relationship Id="rId2" Type="http://schemas.openxmlformats.org/officeDocument/2006/relationships/image" Target="../media/image274.png"/><Relationship Id="rId3" Type="http://schemas.openxmlformats.org/officeDocument/2006/relationships/image" Target="../media/image305.png"/><Relationship Id="rId4" Type="http://schemas.openxmlformats.org/officeDocument/2006/relationships/image" Target="../media/image281.png"/><Relationship Id="rId9" Type="http://schemas.openxmlformats.org/officeDocument/2006/relationships/image" Target="../media/image283.png"/><Relationship Id="rId26" Type="http://schemas.openxmlformats.org/officeDocument/2006/relationships/image" Target="../media/image295.png"/><Relationship Id="rId25" Type="http://schemas.openxmlformats.org/officeDocument/2006/relationships/image" Target="../media/image297.png"/><Relationship Id="rId28" Type="http://schemas.openxmlformats.org/officeDocument/2006/relationships/image" Target="../media/image300.png"/><Relationship Id="rId27" Type="http://schemas.openxmlformats.org/officeDocument/2006/relationships/image" Target="../media/image299.png"/><Relationship Id="rId5" Type="http://schemas.openxmlformats.org/officeDocument/2006/relationships/image" Target="../media/image275.png"/><Relationship Id="rId6" Type="http://schemas.openxmlformats.org/officeDocument/2006/relationships/image" Target="../media/image278.png"/><Relationship Id="rId29" Type="http://schemas.openxmlformats.org/officeDocument/2006/relationships/image" Target="../media/image296.png"/><Relationship Id="rId7" Type="http://schemas.openxmlformats.org/officeDocument/2006/relationships/image" Target="../media/image298.png"/><Relationship Id="rId8" Type="http://schemas.openxmlformats.org/officeDocument/2006/relationships/image" Target="../media/image277.png"/><Relationship Id="rId31" Type="http://schemas.openxmlformats.org/officeDocument/2006/relationships/image" Target="../media/image306.png"/><Relationship Id="rId30" Type="http://schemas.openxmlformats.org/officeDocument/2006/relationships/image" Target="../media/image313.png"/><Relationship Id="rId11" Type="http://schemas.openxmlformats.org/officeDocument/2006/relationships/image" Target="../media/image304.png"/><Relationship Id="rId33" Type="http://schemas.openxmlformats.org/officeDocument/2006/relationships/image" Target="../media/image307.png"/><Relationship Id="rId10" Type="http://schemas.openxmlformats.org/officeDocument/2006/relationships/image" Target="../media/image286.png"/><Relationship Id="rId32" Type="http://schemas.openxmlformats.org/officeDocument/2006/relationships/image" Target="../media/image301.png"/><Relationship Id="rId13" Type="http://schemas.openxmlformats.org/officeDocument/2006/relationships/image" Target="../media/image310.png"/><Relationship Id="rId35" Type="http://schemas.openxmlformats.org/officeDocument/2006/relationships/image" Target="../media/image302.png"/><Relationship Id="rId12" Type="http://schemas.openxmlformats.org/officeDocument/2006/relationships/image" Target="../media/image280.png"/><Relationship Id="rId34" Type="http://schemas.openxmlformats.org/officeDocument/2006/relationships/image" Target="../media/image303.png"/><Relationship Id="rId15" Type="http://schemas.openxmlformats.org/officeDocument/2006/relationships/image" Target="../media/image289.png"/><Relationship Id="rId14" Type="http://schemas.openxmlformats.org/officeDocument/2006/relationships/image" Target="../media/image290.png"/><Relationship Id="rId17" Type="http://schemas.openxmlformats.org/officeDocument/2006/relationships/image" Target="../media/image284.png"/><Relationship Id="rId16" Type="http://schemas.openxmlformats.org/officeDocument/2006/relationships/image" Target="../media/image285.png"/><Relationship Id="rId19" Type="http://schemas.openxmlformats.org/officeDocument/2006/relationships/image" Target="../media/image292.png"/><Relationship Id="rId18" Type="http://schemas.openxmlformats.org/officeDocument/2006/relationships/image" Target="../media/image287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6.jpg"/><Relationship Id="rId22" Type="http://schemas.openxmlformats.org/officeDocument/2006/relationships/image" Target="../media/image18.jpg"/><Relationship Id="rId21" Type="http://schemas.openxmlformats.org/officeDocument/2006/relationships/image" Target="../media/image20.jpg"/><Relationship Id="rId24" Type="http://schemas.openxmlformats.org/officeDocument/2006/relationships/image" Target="../media/image17.jpg"/><Relationship Id="rId23" Type="http://schemas.openxmlformats.org/officeDocument/2006/relationships/image" Target="../media/image19.jpg"/><Relationship Id="rId1" Type="http://schemas.openxmlformats.org/officeDocument/2006/relationships/image" Target="../media/image30.png"/><Relationship Id="rId2" Type="http://schemas.openxmlformats.org/officeDocument/2006/relationships/image" Target="../media/image2.png"/><Relationship Id="rId3" Type="http://schemas.openxmlformats.org/officeDocument/2006/relationships/image" Target="../media/image8.jpg"/><Relationship Id="rId4" Type="http://schemas.openxmlformats.org/officeDocument/2006/relationships/image" Target="../media/image5.jpg"/><Relationship Id="rId9" Type="http://schemas.openxmlformats.org/officeDocument/2006/relationships/image" Target="../media/image9.png"/><Relationship Id="rId26" Type="http://schemas.openxmlformats.org/officeDocument/2006/relationships/image" Target="../media/image24.jpg"/><Relationship Id="rId25" Type="http://schemas.openxmlformats.org/officeDocument/2006/relationships/image" Target="../media/image21.jpg"/><Relationship Id="rId28" Type="http://schemas.openxmlformats.org/officeDocument/2006/relationships/image" Target="../media/image28.jpg"/><Relationship Id="rId27" Type="http://schemas.openxmlformats.org/officeDocument/2006/relationships/image" Target="../media/image23.jpg"/><Relationship Id="rId5" Type="http://schemas.openxmlformats.org/officeDocument/2006/relationships/image" Target="../media/image1.png"/><Relationship Id="rId6" Type="http://schemas.openxmlformats.org/officeDocument/2006/relationships/image" Target="../media/image3.png"/><Relationship Id="rId29" Type="http://schemas.openxmlformats.org/officeDocument/2006/relationships/image" Target="../media/image25.jpg"/><Relationship Id="rId7" Type="http://schemas.openxmlformats.org/officeDocument/2006/relationships/image" Target="../media/image4.png"/><Relationship Id="rId8" Type="http://schemas.openxmlformats.org/officeDocument/2006/relationships/image" Target="../media/image7.png"/><Relationship Id="rId31" Type="http://schemas.openxmlformats.org/officeDocument/2006/relationships/image" Target="../media/image27.jpg"/><Relationship Id="rId30" Type="http://schemas.openxmlformats.org/officeDocument/2006/relationships/image" Target="../media/image29.jpg"/><Relationship Id="rId11" Type="http://schemas.openxmlformats.org/officeDocument/2006/relationships/image" Target="../media/image15.png"/><Relationship Id="rId10" Type="http://schemas.openxmlformats.org/officeDocument/2006/relationships/image" Target="../media/image26.png"/><Relationship Id="rId13" Type="http://schemas.openxmlformats.org/officeDocument/2006/relationships/image" Target="../media/image14.jpg"/><Relationship Id="rId12" Type="http://schemas.openxmlformats.org/officeDocument/2006/relationships/image" Target="../media/image31.png"/><Relationship Id="rId15" Type="http://schemas.openxmlformats.org/officeDocument/2006/relationships/image" Target="../media/image12.png"/><Relationship Id="rId14" Type="http://schemas.openxmlformats.org/officeDocument/2006/relationships/image" Target="../media/image6.jpg"/><Relationship Id="rId17" Type="http://schemas.openxmlformats.org/officeDocument/2006/relationships/image" Target="../media/image10.jpg"/><Relationship Id="rId16" Type="http://schemas.openxmlformats.org/officeDocument/2006/relationships/image" Target="../media/image22.jpg"/><Relationship Id="rId19" Type="http://schemas.openxmlformats.org/officeDocument/2006/relationships/image" Target="../media/image13.jpg"/><Relationship Id="rId18" Type="http://schemas.openxmlformats.org/officeDocument/2006/relationships/image" Target="../media/image1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0.png"/><Relationship Id="rId2" Type="http://schemas.openxmlformats.org/officeDocument/2006/relationships/image" Target="../media/image87.png"/><Relationship Id="rId3" Type="http://schemas.openxmlformats.org/officeDocument/2006/relationships/image" Target="../media/image42.png"/><Relationship Id="rId4" Type="http://schemas.openxmlformats.org/officeDocument/2006/relationships/image" Target="../media/image39.jpg"/><Relationship Id="rId9" Type="http://schemas.openxmlformats.org/officeDocument/2006/relationships/image" Target="../media/image38.jpg"/><Relationship Id="rId5" Type="http://schemas.openxmlformats.org/officeDocument/2006/relationships/image" Target="../media/image37.png"/><Relationship Id="rId6" Type="http://schemas.openxmlformats.org/officeDocument/2006/relationships/image" Target="../media/image32.jpg"/><Relationship Id="rId7" Type="http://schemas.openxmlformats.org/officeDocument/2006/relationships/image" Target="../media/image36.jpg"/><Relationship Id="rId8" Type="http://schemas.openxmlformats.org/officeDocument/2006/relationships/image" Target="../media/image33.jpg"/><Relationship Id="rId11" Type="http://schemas.openxmlformats.org/officeDocument/2006/relationships/image" Target="../media/image43.png"/><Relationship Id="rId10" Type="http://schemas.openxmlformats.org/officeDocument/2006/relationships/image" Target="../media/image34.png"/><Relationship Id="rId13" Type="http://schemas.openxmlformats.org/officeDocument/2006/relationships/image" Target="../media/image35.jpg"/><Relationship Id="rId12" Type="http://schemas.openxmlformats.org/officeDocument/2006/relationships/image" Target="../media/image41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59.jpg"/><Relationship Id="rId21" Type="http://schemas.openxmlformats.org/officeDocument/2006/relationships/image" Target="../media/image67.jpg"/><Relationship Id="rId1" Type="http://schemas.openxmlformats.org/officeDocument/2006/relationships/image" Target="../media/image48.jpg"/><Relationship Id="rId2" Type="http://schemas.openxmlformats.org/officeDocument/2006/relationships/image" Target="../media/image46.png"/><Relationship Id="rId3" Type="http://schemas.openxmlformats.org/officeDocument/2006/relationships/image" Target="../media/image62.png"/><Relationship Id="rId4" Type="http://schemas.openxmlformats.org/officeDocument/2006/relationships/image" Target="../media/image44.png"/><Relationship Id="rId9" Type="http://schemas.openxmlformats.org/officeDocument/2006/relationships/image" Target="../media/image53.jpg"/><Relationship Id="rId5" Type="http://schemas.openxmlformats.org/officeDocument/2006/relationships/image" Target="../media/image51.png"/><Relationship Id="rId6" Type="http://schemas.openxmlformats.org/officeDocument/2006/relationships/image" Target="../media/image45.png"/><Relationship Id="rId7" Type="http://schemas.openxmlformats.org/officeDocument/2006/relationships/image" Target="../media/image50.png"/><Relationship Id="rId8" Type="http://schemas.openxmlformats.org/officeDocument/2006/relationships/image" Target="../media/image47.png"/><Relationship Id="rId11" Type="http://schemas.openxmlformats.org/officeDocument/2006/relationships/image" Target="../media/image93.jpg"/><Relationship Id="rId10" Type="http://schemas.openxmlformats.org/officeDocument/2006/relationships/image" Target="../media/image49.jpg"/><Relationship Id="rId13" Type="http://schemas.openxmlformats.org/officeDocument/2006/relationships/image" Target="../media/image61.jpg"/><Relationship Id="rId12" Type="http://schemas.openxmlformats.org/officeDocument/2006/relationships/image" Target="../media/image52.jpg"/><Relationship Id="rId15" Type="http://schemas.openxmlformats.org/officeDocument/2006/relationships/image" Target="../media/image57.png"/><Relationship Id="rId14" Type="http://schemas.openxmlformats.org/officeDocument/2006/relationships/image" Target="../media/image60.png"/><Relationship Id="rId17" Type="http://schemas.openxmlformats.org/officeDocument/2006/relationships/image" Target="../media/image55.png"/><Relationship Id="rId16" Type="http://schemas.openxmlformats.org/officeDocument/2006/relationships/image" Target="../media/image54.png"/><Relationship Id="rId19" Type="http://schemas.openxmlformats.org/officeDocument/2006/relationships/image" Target="../media/image56.jpg"/><Relationship Id="rId18" Type="http://schemas.openxmlformats.org/officeDocument/2006/relationships/image" Target="../media/image5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5.png"/><Relationship Id="rId2" Type="http://schemas.openxmlformats.org/officeDocument/2006/relationships/image" Target="../media/image63.png"/><Relationship Id="rId3" Type="http://schemas.openxmlformats.org/officeDocument/2006/relationships/image" Target="../media/image64.png"/><Relationship Id="rId4" Type="http://schemas.openxmlformats.org/officeDocument/2006/relationships/image" Target="../media/image66.png"/><Relationship Id="rId5" Type="http://schemas.openxmlformats.org/officeDocument/2006/relationships/image" Target="../media/image68.png"/><Relationship Id="rId6" Type="http://schemas.openxmlformats.org/officeDocument/2006/relationships/image" Target="../media/image7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4.jpg"/><Relationship Id="rId2" Type="http://schemas.openxmlformats.org/officeDocument/2006/relationships/image" Target="../media/image69.png"/><Relationship Id="rId3" Type="http://schemas.openxmlformats.org/officeDocument/2006/relationships/image" Target="../media/image71.png"/><Relationship Id="rId4" Type="http://schemas.openxmlformats.org/officeDocument/2006/relationships/image" Target="../media/image72.png"/><Relationship Id="rId9" Type="http://schemas.openxmlformats.org/officeDocument/2006/relationships/image" Target="../media/image80.png"/><Relationship Id="rId5" Type="http://schemas.openxmlformats.org/officeDocument/2006/relationships/image" Target="../media/image81.png"/><Relationship Id="rId6" Type="http://schemas.openxmlformats.org/officeDocument/2006/relationships/image" Target="../media/image70.png"/><Relationship Id="rId7" Type="http://schemas.openxmlformats.org/officeDocument/2006/relationships/image" Target="../media/image75.png"/><Relationship Id="rId8" Type="http://schemas.openxmlformats.org/officeDocument/2006/relationships/image" Target="../media/image76.png"/><Relationship Id="rId11" Type="http://schemas.openxmlformats.org/officeDocument/2006/relationships/image" Target="../media/image77.png"/><Relationship Id="rId10" Type="http://schemas.openxmlformats.org/officeDocument/2006/relationships/image" Target="../media/image79.png"/><Relationship Id="rId13" Type="http://schemas.openxmlformats.org/officeDocument/2006/relationships/image" Target="../media/image78.png"/><Relationship Id="rId12" Type="http://schemas.openxmlformats.org/officeDocument/2006/relationships/image" Target="../media/image108.png"/><Relationship Id="rId15" Type="http://schemas.openxmlformats.org/officeDocument/2006/relationships/image" Target="../media/image85.png"/><Relationship Id="rId14" Type="http://schemas.openxmlformats.org/officeDocument/2006/relationships/image" Target="../media/image82.png"/><Relationship Id="rId17" Type="http://schemas.openxmlformats.org/officeDocument/2006/relationships/image" Target="../media/image107.png"/><Relationship Id="rId16" Type="http://schemas.openxmlformats.org/officeDocument/2006/relationships/image" Target="../media/image83.png"/></Relationships>
</file>

<file path=xl/drawings/_rels/drawing7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1.jpg"/><Relationship Id="rId22" Type="http://schemas.openxmlformats.org/officeDocument/2006/relationships/image" Target="../media/image109.jpg"/><Relationship Id="rId21" Type="http://schemas.openxmlformats.org/officeDocument/2006/relationships/image" Target="../media/image104.png"/><Relationship Id="rId24" Type="http://schemas.openxmlformats.org/officeDocument/2006/relationships/image" Target="../media/image116.png"/><Relationship Id="rId23" Type="http://schemas.openxmlformats.org/officeDocument/2006/relationships/image" Target="../media/image105.png"/><Relationship Id="rId1" Type="http://schemas.openxmlformats.org/officeDocument/2006/relationships/image" Target="../media/image84.jpg"/><Relationship Id="rId2" Type="http://schemas.openxmlformats.org/officeDocument/2006/relationships/image" Target="../media/image119.jpg"/><Relationship Id="rId3" Type="http://schemas.openxmlformats.org/officeDocument/2006/relationships/image" Target="../media/image86.jpg"/><Relationship Id="rId4" Type="http://schemas.openxmlformats.org/officeDocument/2006/relationships/image" Target="../media/image89.jpg"/><Relationship Id="rId9" Type="http://schemas.openxmlformats.org/officeDocument/2006/relationships/image" Target="../media/image90.png"/><Relationship Id="rId26" Type="http://schemas.openxmlformats.org/officeDocument/2006/relationships/image" Target="../media/image115.png"/><Relationship Id="rId25" Type="http://schemas.openxmlformats.org/officeDocument/2006/relationships/image" Target="../media/image131.png"/><Relationship Id="rId28" Type="http://schemas.openxmlformats.org/officeDocument/2006/relationships/image" Target="../media/image118.png"/><Relationship Id="rId27" Type="http://schemas.openxmlformats.org/officeDocument/2006/relationships/image" Target="../media/image110.png"/><Relationship Id="rId5" Type="http://schemas.openxmlformats.org/officeDocument/2006/relationships/image" Target="../media/image92.jpg"/><Relationship Id="rId6" Type="http://schemas.openxmlformats.org/officeDocument/2006/relationships/image" Target="../media/image88.jpg"/><Relationship Id="rId29" Type="http://schemas.openxmlformats.org/officeDocument/2006/relationships/image" Target="../media/image138.png"/><Relationship Id="rId7" Type="http://schemas.openxmlformats.org/officeDocument/2006/relationships/image" Target="../media/image95.jpg"/><Relationship Id="rId8" Type="http://schemas.openxmlformats.org/officeDocument/2006/relationships/image" Target="../media/image103.jpg"/><Relationship Id="rId30" Type="http://schemas.openxmlformats.org/officeDocument/2006/relationships/image" Target="../media/image114.png"/><Relationship Id="rId11" Type="http://schemas.openxmlformats.org/officeDocument/2006/relationships/image" Target="../media/image91.jpg"/><Relationship Id="rId10" Type="http://schemas.openxmlformats.org/officeDocument/2006/relationships/image" Target="../media/image99.png"/><Relationship Id="rId13" Type="http://schemas.openxmlformats.org/officeDocument/2006/relationships/image" Target="../media/image96.jpg"/><Relationship Id="rId12" Type="http://schemas.openxmlformats.org/officeDocument/2006/relationships/image" Target="../media/image106.jpg"/><Relationship Id="rId15" Type="http://schemas.openxmlformats.org/officeDocument/2006/relationships/image" Target="../media/image94.jpg"/><Relationship Id="rId14" Type="http://schemas.openxmlformats.org/officeDocument/2006/relationships/image" Target="../media/image100.jpg"/><Relationship Id="rId17" Type="http://schemas.openxmlformats.org/officeDocument/2006/relationships/image" Target="../media/image102.jpg"/><Relationship Id="rId16" Type="http://schemas.openxmlformats.org/officeDocument/2006/relationships/image" Target="../media/image97.jpg"/><Relationship Id="rId19" Type="http://schemas.openxmlformats.org/officeDocument/2006/relationships/image" Target="../media/image101.jpg"/><Relationship Id="rId18" Type="http://schemas.openxmlformats.org/officeDocument/2006/relationships/image" Target="../media/image98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47.png"/><Relationship Id="rId2" Type="http://schemas.openxmlformats.org/officeDocument/2006/relationships/image" Target="../media/image113.png"/><Relationship Id="rId3" Type="http://schemas.openxmlformats.org/officeDocument/2006/relationships/image" Target="../media/image112.jpg"/><Relationship Id="rId4" Type="http://schemas.openxmlformats.org/officeDocument/2006/relationships/image" Target="../media/image122.jpg"/><Relationship Id="rId9" Type="http://schemas.openxmlformats.org/officeDocument/2006/relationships/image" Target="../media/image126.png"/><Relationship Id="rId5" Type="http://schemas.openxmlformats.org/officeDocument/2006/relationships/image" Target="../media/image120.jpg"/><Relationship Id="rId6" Type="http://schemas.openxmlformats.org/officeDocument/2006/relationships/image" Target="../media/image127.png"/><Relationship Id="rId7" Type="http://schemas.openxmlformats.org/officeDocument/2006/relationships/image" Target="../media/image117.png"/><Relationship Id="rId8" Type="http://schemas.openxmlformats.org/officeDocument/2006/relationships/image" Target="../media/image121.png"/><Relationship Id="rId11" Type="http://schemas.openxmlformats.org/officeDocument/2006/relationships/image" Target="../media/image129.png"/><Relationship Id="rId10" Type="http://schemas.openxmlformats.org/officeDocument/2006/relationships/image" Target="../media/image124.png"/><Relationship Id="rId12" Type="http://schemas.openxmlformats.org/officeDocument/2006/relationships/image" Target="../media/image123.png"/></Relationships>
</file>

<file path=xl/drawings/_rels/drawing9.xml.rels><?xml version="1.0" encoding="UTF-8" standalone="yes"?><Relationships xmlns="http://schemas.openxmlformats.org/package/2006/relationships"><Relationship Id="rId20" Type="http://schemas.openxmlformats.org/officeDocument/2006/relationships/image" Target="../media/image144.jpg"/><Relationship Id="rId22" Type="http://schemas.openxmlformats.org/officeDocument/2006/relationships/image" Target="../media/image148.png"/><Relationship Id="rId21" Type="http://schemas.openxmlformats.org/officeDocument/2006/relationships/image" Target="../media/image143.jpg"/><Relationship Id="rId23" Type="http://schemas.openxmlformats.org/officeDocument/2006/relationships/image" Target="../media/image153.png"/><Relationship Id="rId1" Type="http://schemas.openxmlformats.org/officeDocument/2006/relationships/image" Target="../media/image172.jpg"/><Relationship Id="rId2" Type="http://schemas.openxmlformats.org/officeDocument/2006/relationships/image" Target="../media/image130.png"/><Relationship Id="rId3" Type="http://schemas.openxmlformats.org/officeDocument/2006/relationships/image" Target="../media/image128.png"/><Relationship Id="rId4" Type="http://schemas.openxmlformats.org/officeDocument/2006/relationships/image" Target="../media/image125.png"/><Relationship Id="rId9" Type="http://schemas.openxmlformats.org/officeDocument/2006/relationships/image" Target="../media/image134.jpg"/><Relationship Id="rId5" Type="http://schemas.openxmlformats.org/officeDocument/2006/relationships/image" Target="../media/image132.png"/><Relationship Id="rId6" Type="http://schemas.openxmlformats.org/officeDocument/2006/relationships/image" Target="../media/image136.png"/><Relationship Id="rId7" Type="http://schemas.openxmlformats.org/officeDocument/2006/relationships/image" Target="../media/image163.png"/><Relationship Id="rId8" Type="http://schemas.openxmlformats.org/officeDocument/2006/relationships/image" Target="../media/image135.png"/><Relationship Id="rId11" Type="http://schemas.openxmlformats.org/officeDocument/2006/relationships/image" Target="../media/image150.jpg"/><Relationship Id="rId10" Type="http://schemas.openxmlformats.org/officeDocument/2006/relationships/image" Target="../media/image140.png"/><Relationship Id="rId13" Type="http://schemas.openxmlformats.org/officeDocument/2006/relationships/image" Target="../media/image145.jpg"/><Relationship Id="rId12" Type="http://schemas.openxmlformats.org/officeDocument/2006/relationships/image" Target="../media/image162.png"/><Relationship Id="rId15" Type="http://schemas.openxmlformats.org/officeDocument/2006/relationships/image" Target="../media/image137.jpg"/><Relationship Id="rId14" Type="http://schemas.openxmlformats.org/officeDocument/2006/relationships/image" Target="../media/image133.png"/><Relationship Id="rId17" Type="http://schemas.openxmlformats.org/officeDocument/2006/relationships/image" Target="../media/image139.jpg"/><Relationship Id="rId16" Type="http://schemas.openxmlformats.org/officeDocument/2006/relationships/image" Target="../media/image141.png"/><Relationship Id="rId19" Type="http://schemas.openxmlformats.org/officeDocument/2006/relationships/image" Target="../media/image142.jpg"/><Relationship Id="rId18" Type="http://schemas.openxmlformats.org/officeDocument/2006/relationships/image" Target="../media/image14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9</xdr:row>
      <xdr:rowOff>28575</xdr:rowOff>
    </xdr:from>
    <xdr:ext cx="1143000" cy="1143000"/>
    <xdr:pic>
      <xdr:nvPicPr>
        <xdr:cNvPr id="0" name="image15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9</xdr:row>
      <xdr:rowOff>38100</xdr:rowOff>
    </xdr:from>
    <xdr:ext cx="1143000" cy="1143000"/>
    <xdr:pic>
      <xdr:nvPicPr>
        <xdr:cNvPr id="0" name="image15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9</xdr:row>
      <xdr:rowOff>76200</xdr:rowOff>
    </xdr:from>
    <xdr:ext cx="1438275" cy="1495425"/>
    <xdr:pic>
      <xdr:nvPicPr>
        <xdr:cNvPr id="0" name="image15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1104900</xdr:colOff>
      <xdr:row>31</xdr:row>
      <xdr:rowOff>76200</xdr:rowOff>
    </xdr:from>
    <xdr:ext cx="1447800" cy="1524000"/>
    <xdr:pic>
      <xdr:nvPicPr>
        <xdr:cNvPr id="0" name="image14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552575" cy="1552575"/>
    <xdr:pic>
      <xdr:nvPicPr>
        <xdr:cNvPr id="0" name="image19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552575" cy="1619250"/>
    <xdr:pic>
      <xdr:nvPicPr>
        <xdr:cNvPr id="0" name="image15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552575" cy="1552575"/>
    <xdr:pic>
      <xdr:nvPicPr>
        <xdr:cNvPr id="0" name="image15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552575" cy="1552575"/>
    <xdr:pic>
      <xdr:nvPicPr>
        <xdr:cNvPr id="0" name="image15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552575" cy="1552575"/>
    <xdr:pic>
      <xdr:nvPicPr>
        <xdr:cNvPr id="0" name="image15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552575" cy="1628775"/>
    <xdr:pic>
      <xdr:nvPicPr>
        <xdr:cNvPr id="0" name="image15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552575" cy="1438275"/>
    <xdr:pic>
      <xdr:nvPicPr>
        <xdr:cNvPr id="0" name="image15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552575" cy="1552575"/>
    <xdr:pic>
      <xdr:nvPicPr>
        <xdr:cNvPr id="0" name="image18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552575" cy="1552575"/>
    <xdr:pic>
      <xdr:nvPicPr>
        <xdr:cNvPr id="0" name="image28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552575" cy="1552575"/>
    <xdr:pic>
      <xdr:nvPicPr>
        <xdr:cNvPr id="0" name="image16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552575" cy="1628775"/>
    <xdr:pic>
      <xdr:nvPicPr>
        <xdr:cNvPr id="0" name="image166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552575" cy="1381125"/>
    <xdr:pic>
      <xdr:nvPicPr>
        <xdr:cNvPr id="0" name="image16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552575" cy="1628775"/>
    <xdr:pic>
      <xdr:nvPicPr>
        <xdr:cNvPr id="0" name="image16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552575" cy="1552575"/>
    <xdr:pic>
      <xdr:nvPicPr>
        <xdr:cNvPr id="0" name="image17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552575" cy="1638300"/>
    <xdr:pic>
      <xdr:nvPicPr>
        <xdr:cNvPr id="0" name="image16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552575" cy="1552575"/>
    <xdr:pic>
      <xdr:nvPicPr>
        <xdr:cNvPr id="0" name="image17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552575" cy="1552575"/>
    <xdr:pic>
      <xdr:nvPicPr>
        <xdr:cNvPr id="0" name="image167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552575" cy="1323975"/>
    <xdr:pic>
      <xdr:nvPicPr>
        <xdr:cNvPr id="0" name="image16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552575" cy="1600200"/>
    <xdr:pic>
      <xdr:nvPicPr>
        <xdr:cNvPr id="0" name="image17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552575" cy="1619250"/>
    <xdr:pic>
      <xdr:nvPicPr>
        <xdr:cNvPr id="0" name="image169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552575" cy="1619250"/>
    <xdr:pic>
      <xdr:nvPicPr>
        <xdr:cNvPr id="0" name="image179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552575" cy="1476375"/>
    <xdr:pic>
      <xdr:nvPicPr>
        <xdr:cNvPr id="0" name="image17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524000" cy="1647825"/>
    <xdr:pic>
      <xdr:nvPicPr>
        <xdr:cNvPr id="0" name="image17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552575" cy="1628775"/>
    <xdr:pic>
      <xdr:nvPicPr>
        <xdr:cNvPr id="0" name="image22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552575" cy="1552575"/>
    <xdr:pic>
      <xdr:nvPicPr>
        <xdr:cNvPr id="0" name="image17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552575" cy="1552575"/>
    <xdr:pic>
      <xdr:nvPicPr>
        <xdr:cNvPr id="0" name="image18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552575" cy="1552575"/>
    <xdr:pic>
      <xdr:nvPicPr>
        <xdr:cNvPr id="0" name="image17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552575" cy="1552575"/>
    <xdr:pic>
      <xdr:nvPicPr>
        <xdr:cNvPr id="0" name="image17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552575" cy="1628775"/>
    <xdr:pic>
      <xdr:nvPicPr>
        <xdr:cNvPr id="0" name="image195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66675</xdr:colOff>
      <xdr:row>38</xdr:row>
      <xdr:rowOff>9525</xdr:rowOff>
    </xdr:from>
    <xdr:ext cx="1104900" cy="1104900"/>
    <xdr:pic>
      <xdr:nvPicPr>
        <xdr:cNvPr id="0" name="image19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</xdr:row>
      <xdr:rowOff>47625</xdr:rowOff>
    </xdr:from>
    <xdr:ext cx="1133475" cy="1190625"/>
    <xdr:pic>
      <xdr:nvPicPr>
        <xdr:cNvPr id="0" name="image18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10</xdr:row>
      <xdr:rowOff>57150</xdr:rowOff>
    </xdr:from>
    <xdr:ext cx="1123950" cy="1133475"/>
    <xdr:pic>
      <xdr:nvPicPr>
        <xdr:cNvPr id="0" name="image18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16</xdr:row>
      <xdr:rowOff>38100</xdr:rowOff>
    </xdr:from>
    <xdr:ext cx="1133475" cy="1162050"/>
    <xdr:pic>
      <xdr:nvPicPr>
        <xdr:cNvPr id="0" name="image18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17</xdr:row>
      <xdr:rowOff>76200</xdr:rowOff>
    </xdr:from>
    <xdr:ext cx="1104900" cy="1133475"/>
    <xdr:pic>
      <xdr:nvPicPr>
        <xdr:cNvPr id="0" name="image2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38100</xdr:rowOff>
    </xdr:from>
    <xdr:ext cx="1143000" cy="1133475"/>
    <xdr:pic>
      <xdr:nvPicPr>
        <xdr:cNvPr id="0" name="image183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47775" cy="1266825"/>
    <xdr:pic>
      <xdr:nvPicPr>
        <xdr:cNvPr id="0" name="image18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66825" cy="1266825"/>
    <xdr:pic>
      <xdr:nvPicPr>
        <xdr:cNvPr id="0" name="image18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66825" cy="1266825"/>
    <xdr:pic>
      <xdr:nvPicPr>
        <xdr:cNvPr id="0" name="image19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66825" cy="1266825"/>
    <xdr:pic>
      <xdr:nvPicPr>
        <xdr:cNvPr id="0" name="image18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09675" cy="1266825"/>
    <xdr:pic>
      <xdr:nvPicPr>
        <xdr:cNvPr id="0" name="image18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66825" cy="1266825"/>
    <xdr:pic>
      <xdr:nvPicPr>
        <xdr:cNvPr id="0" name="image20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66825" cy="1162050"/>
    <xdr:pic>
      <xdr:nvPicPr>
        <xdr:cNvPr id="0" name="image19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90625" cy="1266825"/>
    <xdr:pic>
      <xdr:nvPicPr>
        <xdr:cNvPr id="0" name="image19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19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66825" cy="1266825"/>
    <xdr:pic>
      <xdr:nvPicPr>
        <xdr:cNvPr id="0" name="image309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66825" cy="1266825"/>
    <xdr:pic>
      <xdr:nvPicPr>
        <xdr:cNvPr id="0" name="image198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66825" cy="1266825"/>
    <xdr:pic>
      <xdr:nvPicPr>
        <xdr:cNvPr id="0" name="image19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19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09675" cy="1266825"/>
    <xdr:pic>
      <xdr:nvPicPr>
        <xdr:cNvPr id="0" name="image200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66825" cy="1266825"/>
    <xdr:pic>
      <xdr:nvPicPr>
        <xdr:cNvPr id="0" name="image20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47775" cy="1266825"/>
    <xdr:pic>
      <xdr:nvPicPr>
        <xdr:cNvPr id="0" name="image20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66825" cy="1266825"/>
    <xdr:pic>
      <xdr:nvPicPr>
        <xdr:cNvPr id="0" name="image20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66825" cy="1266825"/>
    <xdr:pic>
      <xdr:nvPicPr>
        <xdr:cNvPr id="0" name="image20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266825" cy="1266825"/>
    <xdr:pic>
      <xdr:nvPicPr>
        <xdr:cNvPr id="0" name="image205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266825" cy="1266825"/>
    <xdr:pic>
      <xdr:nvPicPr>
        <xdr:cNvPr id="0" name="image20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66825" cy="1266825"/>
    <xdr:pic>
      <xdr:nvPicPr>
        <xdr:cNvPr id="0" name="image21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238250" cy="1266825"/>
    <xdr:pic>
      <xdr:nvPicPr>
        <xdr:cNvPr id="0" name="image20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09675" cy="1266825"/>
    <xdr:pic>
      <xdr:nvPicPr>
        <xdr:cNvPr id="0" name="image213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66825" cy="1266825"/>
    <xdr:pic>
      <xdr:nvPicPr>
        <xdr:cNvPr id="0" name="image21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247775" cy="1266825"/>
    <xdr:pic>
      <xdr:nvPicPr>
        <xdr:cNvPr id="0" name="image21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266825" cy="1266825"/>
    <xdr:pic>
      <xdr:nvPicPr>
        <xdr:cNvPr id="0" name="image209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266825" cy="1009650"/>
    <xdr:pic>
      <xdr:nvPicPr>
        <xdr:cNvPr id="0" name="image214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66825" cy="1266825"/>
    <xdr:pic>
      <xdr:nvPicPr>
        <xdr:cNvPr id="0" name="image210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266825" cy="1247775"/>
    <xdr:pic>
      <xdr:nvPicPr>
        <xdr:cNvPr id="0" name="image217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266825" cy="1266825"/>
    <xdr:pic>
      <xdr:nvPicPr>
        <xdr:cNvPr id="0" name="image228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266825" cy="1266825"/>
    <xdr:pic>
      <xdr:nvPicPr>
        <xdr:cNvPr id="0" name="image224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266825" cy="1266825"/>
    <xdr:pic>
      <xdr:nvPicPr>
        <xdr:cNvPr id="0" name="image219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247775" cy="1266825"/>
    <xdr:pic>
      <xdr:nvPicPr>
        <xdr:cNvPr id="0" name="image218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209675" cy="1266825"/>
    <xdr:pic>
      <xdr:nvPicPr>
        <xdr:cNvPr id="0" name="image223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181100" cy="1266825"/>
    <xdr:pic>
      <xdr:nvPicPr>
        <xdr:cNvPr id="0" name="image22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209675" cy="1266825"/>
    <xdr:pic>
      <xdr:nvPicPr>
        <xdr:cNvPr id="0" name="image22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266825" cy="1266825"/>
    <xdr:pic>
      <xdr:nvPicPr>
        <xdr:cNvPr id="0" name="image221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266825" cy="1266825"/>
    <xdr:pic>
      <xdr:nvPicPr>
        <xdr:cNvPr id="0" name="image226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1266825" cy="1266825"/>
    <xdr:pic>
      <xdr:nvPicPr>
        <xdr:cNvPr id="0" name="image227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18</xdr:row>
      <xdr:rowOff>47625</xdr:rowOff>
    </xdr:from>
    <xdr:ext cx="1143000" cy="1200150"/>
    <xdr:pic>
      <xdr:nvPicPr>
        <xdr:cNvPr id="0" name="image23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19</xdr:row>
      <xdr:rowOff>57150</xdr:rowOff>
    </xdr:from>
    <xdr:ext cx="1123950" cy="1181100"/>
    <xdr:pic>
      <xdr:nvPicPr>
        <xdr:cNvPr id="0" name="image23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23</xdr:row>
      <xdr:rowOff>57150</xdr:rowOff>
    </xdr:from>
    <xdr:ext cx="1133475" cy="1133475"/>
    <xdr:pic>
      <xdr:nvPicPr>
        <xdr:cNvPr id="0" name="image22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</xdr:row>
      <xdr:rowOff>28575</xdr:rowOff>
    </xdr:from>
    <xdr:ext cx="1143000" cy="1152525"/>
    <xdr:pic>
      <xdr:nvPicPr>
        <xdr:cNvPr id="0" name="image25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26</xdr:row>
      <xdr:rowOff>47625</xdr:rowOff>
    </xdr:from>
    <xdr:ext cx="1123950" cy="1152525"/>
    <xdr:pic>
      <xdr:nvPicPr>
        <xdr:cNvPr id="0" name="image24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657225" cy="657225"/>
    <xdr:pic>
      <xdr:nvPicPr>
        <xdr:cNvPr id="0" name="image23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647700" cy="657225"/>
    <xdr:pic>
      <xdr:nvPicPr>
        <xdr:cNvPr id="0" name="image23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57300" cy="1266825"/>
    <xdr:pic>
      <xdr:nvPicPr>
        <xdr:cNvPr id="0" name="image23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57300" cy="1266825"/>
    <xdr:pic>
      <xdr:nvPicPr>
        <xdr:cNvPr id="0" name="image31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66825" cy="1266825"/>
    <xdr:pic>
      <xdr:nvPicPr>
        <xdr:cNvPr id="0" name="image23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66825" cy="1266825"/>
    <xdr:pic>
      <xdr:nvPicPr>
        <xdr:cNvPr id="0" name="image23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24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66825" cy="1266825"/>
    <xdr:pic>
      <xdr:nvPicPr>
        <xdr:cNvPr id="0" name="image23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24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66825" cy="1266825"/>
    <xdr:pic>
      <xdr:nvPicPr>
        <xdr:cNvPr id="0" name="image23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933450" cy="933450"/>
    <xdr:pic>
      <xdr:nvPicPr>
        <xdr:cNvPr id="0" name="image23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933450" cy="933450"/>
    <xdr:pic>
      <xdr:nvPicPr>
        <xdr:cNvPr id="0" name="image25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933450" cy="933450"/>
    <xdr:pic>
      <xdr:nvPicPr>
        <xdr:cNvPr id="0" name="image24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933450" cy="933450"/>
    <xdr:pic>
      <xdr:nvPicPr>
        <xdr:cNvPr id="0" name="image25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933450" cy="933450"/>
    <xdr:pic>
      <xdr:nvPicPr>
        <xdr:cNvPr id="0" name="image24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933450" cy="933450"/>
    <xdr:pic>
      <xdr:nvPicPr>
        <xdr:cNvPr id="0" name="image25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933450" cy="933450"/>
    <xdr:pic>
      <xdr:nvPicPr>
        <xdr:cNvPr id="0" name="image24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933450" cy="933450"/>
    <xdr:pic>
      <xdr:nvPicPr>
        <xdr:cNvPr id="0" name="image24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942975" cy="923925"/>
    <xdr:pic>
      <xdr:nvPicPr>
        <xdr:cNvPr id="0" name="image247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952500" cy="933450"/>
    <xdr:pic>
      <xdr:nvPicPr>
        <xdr:cNvPr id="0" name="image245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933450" cy="933450"/>
    <xdr:pic>
      <xdr:nvPicPr>
        <xdr:cNvPr id="0" name="image25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914400" cy="933450"/>
    <xdr:pic>
      <xdr:nvPicPr>
        <xdr:cNvPr id="0" name="image24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923925" cy="933450"/>
    <xdr:pic>
      <xdr:nvPicPr>
        <xdr:cNvPr id="0" name="image252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914400" cy="933450"/>
    <xdr:pic>
      <xdr:nvPicPr>
        <xdr:cNvPr id="0" name="image254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914400" cy="933450"/>
    <xdr:pic>
      <xdr:nvPicPr>
        <xdr:cNvPr id="0" name="image27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933450" cy="933450"/>
    <xdr:pic>
      <xdr:nvPicPr>
        <xdr:cNvPr id="0" name="image27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952500" cy="933450"/>
    <xdr:pic>
      <xdr:nvPicPr>
        <xdr:cNvPr id="0" name="image255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933450" cy="933450"/>
    <xdr:pic>
      <xdr:nvPicPr>
        <xdr:cNvPr id="0" name="image26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628650" cy="866775"/>
    <xdr:pic>
      <xdr:nvPicPr>
        <xdr:cNvPr id="0" name="image258.png" title="Image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495300" cy="866775"/>
    <xdr:pic>
      <xdr:nvPicPr>
        <xdr:cNvPr id="0" name="image259.png" title="Image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371475" cy="866775"/>
    <xdr:pic>
      <xdr:nvPicPr>
        <xdr:cNvPr id="0" name="image260.png" title="Image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485775" cy="866775"/>
    <xdr:pic>
      <xdr:nvPicPr>
        <xdr:cNvPr id="0" name="image261.png" title="Image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57</xdr:row>
      <xdr:rowOff>0</xdr:rowOff>
    </xdr:from>
    <xdr:ext cx="485775" cy="866775"/>
    <xdr:pic>
      <xdr:nvPicPr>
        <xdr:cNvPr id="0" name="image264.png" title="Image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438150" cy="866775"/>
    <xdr:pic>
      <xdr:nvPicPr>
        <xdr:cNvPr id="0" name="image262.png" title="Image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704850" cy="866775"/>
    <xdr:pic>
      <xdr:nvPicPr>
        <xdr:cNvPr id="0" name="image268.png" title="Image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038225" cy="866775"/>
    <xdr:pic>
      <xdr:nvPicPr>
        <xdr:cNvPr id="0" name="image266.png" title="Image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962025" cy="866775"/>
    <xdr:pic>
      <xdr:nvPicPr>
        <xdr:cNvPr id="0" name="image265.png" title="Image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057275" cy="866775"/>
    <xdr:pic>
      <xdr:nvPicPr>
        <xdr:cNvPr id="0" name="image276.png" title="Image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114425" cy="866775"/>
    <xdr:pic>
      <xdr:nvPicPr>
        <xdr:cNvPr id="0" name="image271.png" title="Image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742950" cy="866775"/>
    <xdr:pic>
      <xdr:nvPicPr>
        <xdr:cNvPr id="0" name="image288.png" title="Image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809625" cy="866775"/>
    <xdr:pic>
      <xdr:nvPicPr>
        <xdr:cNvPr id="0" name="image279.png" title="Image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66</xdr:row>
      <xdr:rowOff>0</xdr:rowOff>
    </xdr:from>
    <xdr:ext cx="876300" cy="866775"/>
    <xdr:pic>
      <xdr:nvPicPr>
        <xdr:cNvPr id="0" name="image267.png" title="Image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67</xdr:row>
      <xdr:rowOff>0</xdr:rowOff>
    </xdr:from>
    <xdr:ext cx="1000125" cy="866775"/>
    <xdr:pic>
      <xdr:nvPicPr>
        <xdr:cNvPr id="0" name="image273.png" title="Image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38</xdr:row>
      <xdr:rowOff>38100</xdr:rowOff>
    </xdr:from>
    <xdr:ext cx="1047750" cy="1038225"/>
    <xdr:pic>
      <xdr:nvPicPr>
        <xdr:cNvPr id="0" name="image26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39</xdr:row>
      <xdr:rowOff>57150</xdr:rowOff>
    </xdr:from>
    <xdr:ext cx="1038225" cy="1047750"/>
    <xdr:pic>
      <xdr:nvPicPr>
        <xdr:cNvPr id="0" name="image27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49</xdr:row>
      <xdr:rowOff>38100</xdr:rowOff>
    </xdr:from>
    <xdr:ext cx="1038225" cy="1047750"/>
    <xdr:pic>
      <xdr:nvPicPr>
        <xdr:cNvPr id="0" name="image30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37</xdr:row>
      <xdr:rowOff>57150</xdr:rowOff>
    </xdr:from>
    <xdr:ext cx="1047750" cy="1076325"/>
    <xdr:pic>
      <xdr:nvPicPr>
        <xdr:cNvPr id="0" name="image28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46</xdr:row>
      <xdr:rowOff>47625</xdr:rowOff>
    </xdr:from>
    <xdr:ext cx="1047750" cy="1047750"/>
    <xdr:pic>
      <xdr:nvPicPr>
        <xdr:cNvPr id="0" name="image27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914400" cy="885825"/>
    <xdr:pic>
      <xdr:nvPicPr>
        <xdr:cNvPr id="0" name="image27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895350" cy="885825"/>
    <xdr:pic>
      <xdr:nvPicPr>
        <xdr:cNvPr id="0" name="image29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914400" cy="885825"/>
    <xdr:pic>
      <xdr:nvPicPr>
        <xdr:cNvPr id="0" name="image27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895350" cy="885825"/>
    <xdr:pic>
      <xdr:nvPicPr>
        <xdr:cNvPr id="0" name="image28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914400" cy="885825"/>
    <xdr:pic>
      <xdr:nvPicPr>
        <xdr:cNvPr id="0" name="image28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885825" cy="885825"/>
    <xdr:pic>
      <xdr:nvPicPr>
        <xdr:cNvPr id="0" name="image30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95375" cy="1095375"/>
    <xdr:pic>
      <xdr:nvPicPr>
        <xdr:cNvPr id="0" name="image28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95375" cy="1019175"/>
    <xdr:pic>
      <xdr:nvPicPr>
        <xdr:cNvPr id="0" name="image3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95375" cy="1095375"/>
    <xdr:pic>
      <xdr:nvPicPr>
        <xdr:cNvPr id="0" name="image29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95375" cy="1095375"/>
    <xdr:pic>
      <xdr:nvPicPr>
        <xdr:cNvPr id="0" name="image28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95375" cy="1095375"/>
    <xdr:pic>
      <xdr:nvPicPr>
        <xdr:cNvPr id="0" name="image28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95375" cy="1095375"/>
    <xdr:pic>
      <xdr:nvPicPr>
        <xdr:cNvPr id="0" name="image28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095375" cy="1066800"/>
    <xdr:pic>
      <xdr:nvPicPr>
        <xdr:cNvPr id="0" name="image28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095375" cy="1095375"/>
    <xdr:pic>
      <xdr:nvPicPr>
        <xdr:cNvPr id="0" name="image292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95375" cy="1038225"/>
    <xdr:pic>
      <xdr:nvPicPr>
        <xdr:cNvPr id="0" name="image30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095375" cy="1057275"/>
    <xdr:pic>
      <xdr:nvPicPr>
        <xdr:cNvPr id="0" name="image31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95375" cy="1095375"/>
    <xdr:pic>
      <xdr:nvPicPr>
        <xdr:cNvPr id="0" name="image29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95375" cy="1095375"/>
    <xdr:pic>
      <xdr:nvPicPr>
        <xdr:cNvPr id="0" name="image29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95375" cy="1095375"/>
    <xdr:pic>
      <xdr:nvPicPr>
        <xdr:cNvPr id="0" name="image29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95375" cy="1057275"/>
    <xdr:pic>
      <xdr:nvPicPr>
        <xdr:cNvPr id="0" name="image29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095375" cy="1095375"/>
    <xdr:pic>
      <xdr:nvPicPr>
        <xdr:cNvPr id="0" name="image29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038225" cy="1143000"/>
    <xdr:pic>
      <xdr:nvPicPr>
        <xdr:cNvPr id="0" name="image29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076325" cy="1143000"/>
    <xdr:pic>
      <xdr:nvPicPr>
        <xdr:cNvPr id="0" name="image30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38225" cy="1143000"/>
    <xdr:pic>
      <xdr:nvPicPr>
        <xdr:cNvPr id="0" name="image29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95375" cy="1095375"/>
    <xdr:pic>
      <xdr:nvPicPr>
        <xdr:cNvPr id="0" name="image31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066800" cy="1143000"/>
    <xdr:pic>
      <xdr:nvPicPr>
        <xdr:cNvPr id="0" name="image30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95375" cy="1095375"/>
    <xdr:pic>
      <xdr:nvPicPr>
        <xdr:cNvPr id="0" name="image30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066800" cy="1143000"/>
    <xdr:pic>
      <xdr:nvPicPr>
        <xdr:cNvPr id="0" name="image30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095375" cy="1114425"/>
    <xdr:pic>
      <xdr:nvPicPr>
        <xdr:cNvPr id="0" name="image30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095375" cy="1095375"/>
    <xdr:pic>
      <xdr:nvPicPr>
        <xdr:cNvPr id="0" name="image30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38</xdr:row>
      <xdr:rowOff>38100</xdr:rowOff>
    </xdr:from>
    <xdr:ext cx="1047750" cy="1038225"/>
    <xdr:pic>
      <xdr:nvPicPr>
        <xdr:cNvPr id="0" name="image26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39</xdr:row>
      <xdr:rowOff>57150</xdr:rowOff>
    </xdr:from>
    <xdr:ext cx="1038225" cy="1047750"/>
    <xdr:pic>
      <xdr:nvPicPr>
        <xdr:cNvPr id="0" name="image27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49</xdr:row>
      <xdr:rowOff>38100</xdr:rowOff>
    </xdr:from>
    <xdr:ext cx="1038225" cy="1047750"/>
    <xdr:pic>
      <xdr:nvPicPr>
        <xdr:cNvPr id="0" name="image30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37</xdr:row>
      <xdr:rowOff>57150</xdr:rowOff>
    </xdr:from>
    <xdr:ext cx="1047750" cy="1076325"/>
    <xdr:pic>
      <xdr:nvPicPr>
        <xdr:cNvPr id="0" name="image28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46</xdr:row>
      <xdr:rowOff>47625</xdr:rowOff>
    </xdr:from>
    <xdr:ext cx="1047750" cy="1047750"/>
    <xdr:pic>
      <xdr:nvPicPr>
        <xdr:cNvPr id="0" name="image27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914400" cy="885825"/>
    <xdr:pic>
      <xdr:nvPicPr>
        <xdr:cNvPr id="0" name="image27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895350" cy="885825"/>
    <xdr:pic>
      <xdr:nvPicPr>
        <xdr:cNvPr id="0" name="image29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914400" cy="885825"/>
    <xdr:pic>
      <xdr:nvPicPr>
        <xdr:cNvPr id="0" name="image27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895350" cy="885825"/>
    <xdr:pic>
      <xdr:nvPicPr>
        <xdr:cNvPr id="0" name="image28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914400" cy="885825"/>
    <xdr:pic>
      <xdr:nvPicPr>
        <xdr:cNvPr id="0" name="image28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885825" cy="885825"/>
    <xdr:pic>
      <xdr:nvPicPr>
        <xdr:cNvPr id="0" name="image30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95375" cy="1095375"/>
    <xdr:pic>
      <xdr:nvPicPr>
        <xdr:cNvPr id="0" name="image28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95375" cy="1019175"/>
    <xdr:pic>
      <xdr:nvPicPr>
        <xdr:cNvPr id="0" name="image3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95375" cy="1095375"/>
    <xdr:pic>
      <xdr:nvPicPr>
        <xdr:cNvPr id="0" name="image29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95375" cy="1095375"/>
    <xdr:pic>
      <xdr:nvPicPr>
        <xdr:cNvPr id="0" name="image28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95375" cy="1095375"/>
    <xdr:pic>
      <xdr:nvPicPr>
        <xdr:cNvPr id="0" name="image28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95375" cy="1095375"/>
    <xdr:pic>
      <xdr:nvPicPr>
        <xdr:cNvPr id="0" name="image28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095375" cy="1066800"/>
    <xdr:pic>
      <xdr:nvPicPr>
        <xdr:cNvPr id="0" name="image28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095375" cy="1095375"/>
    <xdr:pic>
      <xdr:nvPicPr>
        <xdr:cNvPr id="0" name="image292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95375" cy="1038225"/>
    <xdr:pic>
      <xdr:nvPicPr>
        <xdr:cNvPr id="0" name="image30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095375" cy="1057275"/>
    <xdr:pic>
      <xdr:nvPicPr>
        <xdr:cNvPr id="0" name="image31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95375" cy="1095375"/>
    <xdr:pic>
      <xdr:nvPicPr>
        <xdr:cNvPr id="0" name="image29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95375" cy="1095375"/>
    <xdr:pic>
      <xdr:nvPicPr>
        <xdr:cNvPr id="0" name="image29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95375" cy="1095375"/>
    <xdr:pic>
      <xdr:nvPicPr>
        <xdr:cNvPr id="0" name="image29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95375" cy="1057275"/>
    <xdr:pic>
      <xdr:nvPicPr>
        <xdr:cNvPr id="0" name="image29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095375" cy="1095375"/>
    <xdr:pic>
      <xdr:nvPicPr>
        <xdr:cNvPr id="0" name="image29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038225" cy="1143000"/>
    <xdr:pic>
      <xdr:nvPicPr>
        <xdr:cNvPr id="0" name="image29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076325" cy="1143000"/>
    <xdr:pic>
      <xdr:nvPicPr>
        <xdr:cNvPr id="0" name="image30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38225" cy="1143000"/>
    <xdr:pic>
      <xdr:nvPicPr>
        <xdr:cNvPr id="0" name="image29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95375" cy="1095375"/>
    <xdr:pic>
      <xdr:nvPicPr>
        <xdr:cNvPr id="0" name="image31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066800" cy="1143000"/>
    <xdr:pic>
      <xdr:nvPicPr>
        <xdr:cNvPr id="0" name="image30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95375" cy="1095375"/>
    <xdr:pic>
      <xdr:nvPicPr>
        <xdr:cNvPr id="0" name="image30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066800" cy="1143000"/>
    <xdr:pic>
      <xdr:nvPicPr>
        <xdr:cNvPr id="0" name="image30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095375" cy="1114425"/>
    <xdr:pic>
      <xdr:nvPicPr>
        <xdr:cNvPr id="0" name="image30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095375" cy="1095375"/>
    <xdr:pic>
      <xdr:nvPicPr>
        <xdr:cNvPr id="0" name="image30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1009650</xdr:colOff>
      <xdr:row>39</xdr:row>
      <xdr:rowOff>66675</xdr:rowOff>
    </xdr:from>
    <xdr:ext cx="1066800" cy="1104900"/>
    <xdr:pic>
      <xdr:nvPicPr>
        <xdr:cNvPr id="0" name="image3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1009650</xdr:colOff>
      <xdr:row>40</xdr:row>
      <xdr:rowOff>38100</xdr:rowOff>
    </xdr:from>
    <xdr:ext cx="1066800" cy="11239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47</xdr:row>
      <xdr:rowOff>57150</xdr:rowOff>
    </xdr:from>
    <xdr:ext cx="6315075" cy="6143625"/>
    <xdr:pic>
      <xdr:nvPicPr>
        <xdr:cNvPr id="0" name="image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1181100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114425"/>
    <xdr:pic>
      <xdr:nvPicPr>
        <xdr:cNvPr id="0" name="image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1114425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143000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1143000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43000"/>
    <xdr:pic>
      <xdr:nvPicPr>
        <xdr:cNvPr id="0" name="image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43000"/>
    <xdr:pic>
      <xdr:nvPicPr>
        <xdr:cNvPr id="0" name="image2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14425"/>
    <xdr:pic>
      <xdr:nvPicPr>
        <xdr:cNvPr id="0" name="image1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1114425"/>
    <xdr:pic>
      <xdr:nvPicPr>
        <xdr:cNvPr id="0" name="image3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962025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923925"/>
    <xdr:pic>
      <xdr:nvPicPr>
        <xdr:cNvPr id="0" name="image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1114425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14425"/>
    <xdr:pic>
      <xdr:nvPicPr>
        <xdr:cNvPr id="0" name="image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8110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876300"/>
    <xdr:pic>
      <xdr:nvPicPr>
        <xdr:cNvPr id="0" name="image1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14425" cy="1162050"/>
    <xdr:pic>
      <xdr:nvPicPr>
        <xdr:cNvPr id="0" name="image1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14425" cy="1000125"/>
    <xdr:pic>
      <xdr:nvPicPr>
        <xdr:cNvPr id="0" name="image1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14425" cy="971550"/>
    <xdr:pic>
      <xdr:nvPicPr>
        <xdr:cNvPr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114425" cy="1066800"/>
    <xdr:pic>
      <xdr:nvPicPr>
        <xdr:cNvPr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114425" cy="1114425"/>
    <xdr:pic>
      <xdr:nvPicPr>
        <xdr:cNvPr id="0" name="image1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43000"/>
    <xdr:pic>
      <xdr:nvPicPr>
        <xdr:cNvPr id="0" name="image1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14425" cy="1143000"/>
    <xdr:pic>
      <xdr:nvPicPr>
        <xdr:cNvPr id="0" name="image2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114425" cy="1162050"/>
    <xdr:pic>
      <xdr:nvPicPr>
        <xdr:cNvPr id="0" name="image2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114425" cy="876300"/>
    <xdr:pic>
      <xdr:nvPicPr>
        <xdr:cNvPr id="0" name="image2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114425" cy="1143000"/>
    <xdr:pic>
      <xdr:nvPicPr>
        <xdr:cNvPr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114425" cy="1181100"/>
    <xdr:pic>
      <xdr:nvPicPr>
        <xdr:cNvPr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114425" cy="1181100"/>
    <xdr:pic>
      <xdr:nvPicPr>
        <xdr:cNvPr id="0" name="image2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114425" cy="1000125"/>
    <xdr:pic>
      <xdr:nvPicPr>
        <xdr:cNvPr id="0" name="image2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5</xdr:row>
      <xdr:rowOff>0</xdr:rowOff>
    </xdr:from>
    <xdr:ext cx="1143000" cy="1143000"/>
    <xdr:pic>
      <xdr:nvPicPr>
        <xdr:cNvPr id="0" name="image4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90625" cy="1190625"/>
    <xdr:pic>
      <xdr:nvPicPr>
        <xdr:cNvPr id="0" name="image8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28725" cy="1228725"/>
    <xdr:pic>
      <xdr:nvPicPr>
        <xdr:cNvPr id="0" name="image4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09675" cy="1200150"/>
    <xdr:pic>
      <xdr:nvPicPr>
        <xdr:cNvPr id="0" name="image3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200150" cy="1200150"/>
    <xdr:pic>
      <xdr:nvPicPr>
        <xdr:cNvPr id="0" name="image3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28725" cy="704850"/>
    <xdr:pic>
      <xdr:nvPicPr>
        <xdr:cNvPr id="0" name="image3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47750" cy="1123950"/>
    <xdr:pic>
      <xdr:nvPicPr>
        <xdr:cNvPr id="0" name="image3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28725" cy="1095375"/>
    <xdr:pic>
      <xdr:nvPicPr>
        <xdr:cNvPr id="0" name="image3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676275" cy="1123950"/>
    <xdr:pic>
      <xdr:nvPicPr>
        <xdr:cNvPr id="0" name="image3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561975" cy="1123950"/>
    <xdr:pic>
      <xdr:nvPicPr>
        <xdr:cNvPr id="0" name="image3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28725" cy="1209675"/>
    <xdr:pic>
      <xdr:nvPicPr>
        <xdr:cNvPr id="0" name="image4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09650" cy="1276350"/>
    <xdr:pic>
      <xdr:nvPicPr>
        <xdr:cNvPr id="0" name="image4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28725" cy="1228725"/>
    <xdr:pic>
      <xdr:nvPicPr>
        <xdr:cNvPr id="0" name="image3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13</xdr:row>
      <xdr:rowOff>66675</xdr:rowOff>
    </xdr:from>
    <xdr:ext cx="1171575" cy="1219200"/>
    <xdr:pic>
      <xdr:nvPicPr>
        <xdr:cNvPr id="0" name="image4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295400" cy="1295400"/>
    <xdr:pic>
      <xdr:nvPicPr>
        <xdr:cNvPr id="0" name="image4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295400" cy="1295400"/>
    <xdr:pic>
      <xdr:nvPicPr>
        <xdr:cNvPr id="0" name="image6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95400" cy="1295400"/>
    <xdr:pic>
      <xdr:nvPicPr>
        <xdr:cNvPr id="0" name="image4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95400" cy="1209675"/>
    <xdr:pic>
      <xdr:nvPicPr>
        <xdr:cNvPr id="0" name="image5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95400" cy="1295400"/>
    <xdr:pic>
      <xdr:nvPicPr>
        <xdr:cNvPr id="0" name="image4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295400" cy="1285875"/>
    <xdr:pic>
      <xdr:nvPicPr>
        <xdr:cNvPr id="0" name="image5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95400" cy="1266825"/>
    <xdr:pic>
      <xdr:nvPicPr>
        <xdr:cNvPr id="0" name="image4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76350" cy="1390650"/>
    <xdr:pic>
      <xdr:nvPicPr>
        <xdr:cNvPr id="0" name="image5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95400" cy="1362075"/>
    <xdr:pic>
      <xdr:nvPicPr>
        <xdr:cNvPr id="0" name="image4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95400" cy="1371600"/>
    <xdr:pic>
      <xdr:nvPicPr>
        <xdr:cNvPr id="0" name="image9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95400" cy="1343025"/>
    <xdr:pic>
      <xdr:nvPicPr>
        <xdr:cNvPr id="0" name="image5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95400" cy="1362075"/>
    <xdr:pic>
      <xdr:nvPicPr>
        <xdr:cNvPr id="0" name="image6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295400" cy="1295400"/>
    <xdr:pic>
      <xdr:nvPicPr>
        <xdr:cNvPr id="0" name="image6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95400" cy="1295400"/>
    <xdr:pic>
      <xdr:nvPicPr>
        <xdr:cNvPr id="0" name="image57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95400" cy="1028700"/>
    <xdr:pic>
      <xdr:nvPicPr>
        <xdr:cNvPr id="0" name="image5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95400" cy="1295400"/>
    <xdr:pic>
      <xdr:nvPicPr>
        <xdr:cNvPr id="0" name="image5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95400" cy="1295400"/>
    <xdr:pic>
      <xdr:nvPicPr>
        <xdr:cNvPr id="0" name="image5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95400" cy="1362075"/>
    <xdr:pic>
      <xdr:nvPicPr>
        <xdr:cNvPr id="0" name="image5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95400" cy="1362075"/>
    <xdr:pic>
      <xdr:nvPicPr>
        <xdr:cNvPr id="0" name="image5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95400" cy="1381125"/>
    <xdr:pic>
      <xdr:nvPicPr>
        <xdr:cNvPr id="0" name="image6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16</xdr:row>
      <xdr:rowOff>0</xdr:rowOff>
    </xdr:from>
    <xdr:ext cx="5638800" cy="2686050"/>
    <xdr:pic>
      <xdr:nvPicPr>
        <xdr:cNvPr id="0" name="image6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295400" cy="1295400"/>
    <xdr:pic>
      <xdr:nvPicPr>
        <xdr:cNvPr id="0" name="image6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228725" cy="1247775"/>
    <xdr:pic>
      <xdr:nvPicPr>
        <xdr:cNvPr id="0" name="image6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95400" cy="1295400"/>
    <xdr:pic>
      <xdr:nvPicPr>
        <xdr:cNvPr id="0" name="image6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95400" cy="1295400"/>
    <xdr:pic>
      <xdr:nvPicPr>
        <xdr:cNvPr id="0" name="image6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00150" cy="1200150"/>
    <xdr:pic>
      <xdr:nvPicPr>
        <xdr:cNvPr id="0" name="image7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962025</xdr:colOff>
      <xdr:row>29</xdr:row>
      <xdr:rowOff>19050</xdr:rowOff>
    </xdr:from>
    <xdr:ext cx="5819775" cy="5410200"/>
    <xdr:pic>
      <xdr:nvPicPr>
        <xdr:cNvPr id="0" name="image7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000125" cy="1000125"/>
    <xdr:pic>
      <xdr:nvPicPr>
        <xdr:cNvPr id="0" name="image6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962025" cy="952500"/>
    <xdr:pic>
      <xdr:nvPicPr>
        <xdr:cNvPr id="0" name="image7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028700" cy="1028700"/>
    <xdr:pic>
      <xdr:nvPicPr>
        <xdr:cNvPr id="0" name="image7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09650" cy="1000125"/>
    <xdr:pic>
      <xdr:nvPicPr>
        <xdr:cNvPr id="0" name="image8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28700" cy="1057275"/>
    <xdr:pic>
      <xdr:nvPicPr>
        <xdr:cNvPr id="0" name="image7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28700" cy="1019175"/>
    <xdr:pic>
      <xdr:nvPicPr>
        <xdr:cNvPr id="0" name="image7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28700" cy="1028700"/>
    <xdr:pic>
      <xdr:nvPicPr>
        <xdr:cNvPr id="0" name="image7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28700" cy="1028700"/>
    <xdr:pic>
      <xdr:nvPicPr>
        <xdr:cNvPr id="0" name="image8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28700" cy="1019175"/>
    <xdr:pic>
      <xdr:nvPicPr>
        <xdr:cNvPr id="0" name="image7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028700" cy="1019175"/>
    <xdr:pic>
      <xdr:nvPicPr>
        <xdr:cNvPr id="0" name="image7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28700" cy="1038225"/>
    <xdr:pic>
      <xdr:nvPicPr>
        <xdr:cNvPr id="0" name="image10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28700" cy="1019175"/>
    <xdr:pic>
      <xdr:nvPicPr>
        <xdr:cNvPr id="0" name="image7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28700" cy="1019175"/>
    <xdr:pic>
      <xdr:nvPicPr>
        <xdr:cNvPr id="0" name="image8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28700" cy="1019175"/>
    <xdr:pic>
      <xdr:nvPicPr>
        <xdr:cNvPr id="0" name="image8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28700" cy="1019175"/>
    <xdr:pic>
      <xdr:nvPicPr>
        <xdr:cNvPr id="0" name="image8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28700" cy="1028700"/>
    <xdr:pic>
      <xdr:nvPicPr>
        <xdr:cNvPr id="0" name="image10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4</xdr:row>
      <xdr:rowOff>0</xdr:rowOff>
    </xdr:from>
    <xdr:ext cx="1114425" cy="1162050"/>
    <xdr:pic>
      <xdr:nvPicPr>
        <xdr:cNvPr id="0" name="image8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1143000"/>
    <xdr:pic>
      <xdr:nvPicPr>
        <xdr:cNvPr id="0" name="image1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181100"/>
    <xdr:pic>
      <xdr:nvPicPr>
        <xdr:cNvPr id="0" name="image8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1162050"/>
    <xdr:pic>
      <xdr:nvPicPr>
        <xdr:cNvPr id="0" name="image8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143000"/>
    <xdr:pic>
      <xdr:nvPicPr>
        <xdr:cNvPr id="0" name="image9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771525"/>
    <xdr:pic>
      <xdr:nvPicPr>
        <xdr:cNvPr id="0" name="image8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71575"/>
    <xdr:pic>
      <xdr:nvPicPr>
        <xdr:cNvPr id="0" name="image9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62050"/>
    <xdr:pic>
      <xdr:nvPicPr>
        <xdr:cNvPr id="0" name="image10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114425" cy="1181100"/>
    <xdr:pic>
      <xdr:nvPicPr>
        <xdr:cNvPr id="0" name="image9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14425" cy="1162050"/>
    <xdr:pic>
      <xdr:nvPicPr>
        <xdr:cNvPr id="0" name="image9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14425" cy="1133475"/>
    <xdr:pic>
      <xdr:nvPicPr>
        <xdr:cNvPr id="0" name="image9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62050"/>
    <xdr:pic>
      <xdr:nvPicPr>
        <xdr:cNvPr id="0" name="image10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771525"/>
    <xdr:pic>
      <xdr:nvPicPr>
        <xdr:cNvPr id="0" name="image9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790575"/>
    <xdr:pic>
      <xdr:nvPicPr>
        <xdr:cNvPr id="0" name="image10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771525"/>
    <xdr:pic>
      <xdr:nvPicPr>
        <xdr:cNvPr id="0" name="image9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771525"/>
    <xdr:pic>
      <xdr:nvPicPr>
        <xdr:cNvPr id="0" name="image9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14425"/>
    <xdr:pic>
      <xdr:nvPicPr>
        <xdr:cNvPr id="0" name="image10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62050"/>
    <xdr:pic>
      <xdr:nvPicPr>
        <xdr:cNvPr id="0" name="image9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1162050"/>
    <xdr:pic>
      <xdr:nvPicPr>
        <xdr:cNvPr id="0" name="image10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14425" cy="1143000"/>
    <xdr:pic>
      <xdr:nvPicPr>
        <xdr:cNvPr id="0" name="image11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14425" cy="733425"/>
    <xdr:pic>
      <xdr:nvPicPr>
        <xdr:cNvPr id="0" name="image10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14425" cy="1162050"/>
    <xdr:pic>
      <xdr:nvPicPr>
        <xdr:cNvPr id="0" name="image10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114425" cy="1114425"/>
    <xdr:pic>
      <xdr:nvPicPr>
        <xdr:cNvPr id="0" name="image10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114425" cy="1114425"/>
    <xdr:pic>
      <xdr:nvPicPr>
        <xdr:cNvPr id="0" name="image116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114425" cy="1114425"/>
    <xdr:pic>
      <xdr:nvPicPr>
        <xdr:cNvPr id="0" name="image13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14425" cy="1114425"/>
    <xdr:pic>
      <xdr:nvPicPr>
        <xdr:cNvPr id="0" name="image11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114425" cy="1114425"/>
    <xdr:pic>
      <xdr:nvPicPr>
        <xdr:cNvPr id="0" name="image11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114425" cy="1114425"/>
    <xdr:pic>
      <xdr:nvPicPr>
        <xdr:cNvPr id="0" name="image11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62050"/>
    <xdr:pic>
      <xdr:nvPicPr>
        <xdr:cNvPr id="0" name="image13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14425" cy="1114425"/>
    <xdr:pic>
      <xdr:nvPicPr>
        <xdr:cNvPr id="0" name="image11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790575</xdr:colOff>
      <xdr:row>15</xdr:row>
      <xdr:rowOff>38100</xdr:rowOff>
    </xdr:from>
    <xdr:ext cx="981075" cy="1047750"/>
    <xdr:pic>
      <xdr:nvPicPr>
        <xdr:cNvPr id="0" name="image14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15</xdr:row>
      <xdr:rowOff>1152525</xdr:rowOff>
    </xdr:from>
    <xdr:ext cx="981075" cy="1133475"/>
    <xdr:pic>
      <xdr:nvPicPr>
        <xdr:cNvPr id="0" name="image11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590550" cy="942975"/>
    <xdr:pic>
      <xdr:nvPicPr>
        <xdr:cNvPr id="0" name="image11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657225" cy="1133475"/>
    <xdr:pic>
      <xdr:nvPicPr>
        <xdr:cNvPr id="0" name="image12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657225" cy="1133475"/>
    <xdr:pic>
      <xdr:nvPicPr>
        <xdr:cNvPr id="0" name="image12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28700" cy="1028700"/>
    <xdr:pic>
      <xdr:nvPicPr>
        <xdr:cNvPr id="0" name="image12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28700" cy="1028700"/>
    <xdr:pic>
      <xdr:nvPicPr>
        <xdr:cNvPr id="0" name="image11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28700" cy="1028700"/>
    <xdr:pic>
      <xdr:nvPicPr>
        <xdr:cNvPr id="0" name="image1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28700" cy="1009650"/>
    <xdr:pic>
      <xdr:nvPicPr>
        <xdr:cNvPr id="0" name="image12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28700" cy="1028700"/>
    <xdr:pic>
      <xdr:nvPicPr>
        <xdr:cNvPr id="0" name="image12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28700" cy="1009650"/>
    <xdr:pic>
      <xdr:nvPicPr>
        <xdr:cNvPr id="0" name="image12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028700" cy="1028700"/>
    <xdr:pic>
      <xdr:nvPicPr>
        <xdr:cNvPr id="0" name="image12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5</xdr:row>
      <xdr:rowOff>76200</xdr:rowOff>
    </xdr:from>
    <xdr:ext cx="1114425" cy="1095375"/>
    <xdr:pic>
      <xdr:nvPicPr>
        <xdr:cNvPr id="0" name="image17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</xdr:row>
      <xdr:rowOff>47625</xdr:rowOff>
    </xdr:from>
    <xdr:ext cx="1057275" cy="1114425"/>
    <xdr:pic>
      <xdr:nvPicPr>
        <xdr:cNvPr id="0" name="image13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10</xdr:row>
      <xdr:rowOff>104775</xdr:rowOff>
    </xdr:from>
    <xdr:ext cx="1066800" cy="1104900"/>
    <xdr:pic>
      <xdr:nvPicPr>
        <xdr:cNvPr id="0" name="image12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</xdr:row>
      <xdr:rowOff>38100</xdr:rowOff>
    </xdr:from>
    <xdr:ext cx="1066800" cy="1104900"/>
    <xdr:pic>
      <xdr:nvPicPr>
        <xdr:cNvPr id="0" name="image125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</xdr:row>
      <xdr:rowOff>47625</xdr:rowOff>
    </xdr:from>
    <xdr:ext cx="1066800" cy="1123950"/>
    <xdr:pic>
      <xdr:nvPicPr>
        <xdr:cNvPr id="0" name="image13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</xdr:row>
      <xdr:rowOff>104775</xdr:rowOff>
    </xdr:from>
    <xdr:ext cx="1057275" cy="1095375"/>
    <xdr:pic>
      <xdr:nvPicPr>
        <xdr:cNvPr id="0" name="image13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66825" cy="1266825"/>
    <xdr:pic>
      <xdr:nvPicPr>
        <xdr:cNvPr id="0" name="image16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62050" cy="1266825"/>
    <xdr:pic>
      <xdr:nvPicPr>
        <xdr:cNvPr id="0" name="image13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23950" cy="1266825"/>
    <xdr:pic>
      <xdr:nvPicPr>
        <xdr:cNvPr id="0" name="image13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09675" cy="1266825"/>
    <xdr:pic>
      <xdr:nvPicPr>
        <xdr:cNvPr id="0" name="image14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09675" cy="1266825"/>
    <xdr:pic>
      <xdr:nvPicPr>
        <xdr:cNvPr id="0" name="image15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81100" cy="1266825"/>
    <xdr:pic>
      <xdr:nvPicPr>
        <xdr:cNvPr id="0" name="image16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71575" cy="1266825"/>
    <xdr:pic>
      <xdr:nvPicPr>
        <xdr:cNvPr id="0" name="image14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66825" cy="1266825"/>
    <xdr:pic>
      <xdr:nvPicPr>
        <xdr:cNvPr id="0" name="image13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09675" cy="1266825"/>
    <xdr:pic>
      <xdr:nvPicPr>
        <xdr:cNvPr id="0" name="image13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62050" cy="1266825"/>
    <xdr:pic>
      <xdr:nvPicPr>
        <xdr:cNvPr id="0" name="image14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09675" cy="1266825"/>
    <xdr:pic>
      <xdr:nvPicPr>
        <xdr:cNvPr id="0" name="image13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09675" cy="1266825"/>
    <xdr:pic>
      <xdr:nvPicPr>
        <xdr:cNvPr id="0" name="image14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90625" cy="1266825"/>
    <xdr:pic>
      <xdr:nvPicPr>
        <xdr:cNvPr id="0" name="image14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09675" cy="1266825"/>
    <xdr:pic>
      <xdr:nvPicPr>
        <xdr:cNvPr id="0" name="image14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09675" cy="1266825"/>
    <xdr:pic>
      <xdr:nvPicPr>
        <xdr:cNvPr id="0" name="image14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148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15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5" max="5" width="8.43"/>
    <col customWidth="1" min="7" max="18" width="7.71"/>
    <col customWidth="1" min="19" max="19" width="7.14"/>
    <col customWidth="1" min="20" max="20" width="9.0"/>
    <col customWidth="1" min="21" max="21" width="7.29"/>
    <col customWidth="1" min="22" max="22" width="7.14"/>
    <col customWidth="1" min="23" max="23" width="7.43"/>
  </cols>
  <sheetData>
    <row r="1"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>
      <c r="B2" s="3" t="s">
        <v>0</v>
      </c>
      <c r="C2" s="4"/>
      <c r="D2" s="4"/>
      <c r="E2" s="5"/>
      <c r="F2" s="6"/>
      <c r="G2" s="7" t="s">
        <v>1</v>
      </c>
      <c r="H2" s="8" t="s">
        <v>2</v>
      </c>
      <c r="I2" s="9" t="s">
        <v>3</v>
      </c>
      <c r="J2" s="10" t="s">
        <v>4</v>
      </c>
      <c r="K2" s="11" t="s">
        <v>5</v>
      </c>
      <c r="L2" s="12" t="s">
        <v>6</v>
      </c>
      <c r="M2" s="13" t="s">
        <v>7</v>
      </c>
      <c r="N2" s="14" t="s">
        <v>8</v>
      </c>
      <c r="O2" s="15" t="s">
        <v>9</v>
      </c>
      <c r="P2" s="16" t="s">
        <v>10</v>
      </c>
      <c r="Q2" s="17" t="s">
        <v>11</v>
      </c>
      <c r="R2" s="18" t="s">
        <v>12</v>
      </c>
      <c r="S2" s="19" t="s">
        <v>13</v>
      </c>
      <c r="T2" s="20" t="s">
        <v>14</v>
      </c>
      <c r="U2" s="5"/>
      <c r="V2" s="5"/>
      <c r="W2" s="5"/>
      <c r="X2" s="5"/>
    </row>
    <row r="3">
      <c r="B3" s="21" t="s">
        <v>15</v>
      </c>
      <c r="C3" s="21" t="s">
        <v>16</v>
      </c>
      <c r="D3" s="21" t="s">
        <v>17</v>
      </c>
      <c r="E3" s="21" t="s">
        <v>18</v>
      </c>
      <c r="F3" s="22" t="s">
        <v>19</v>
      </c>
      <c r="G3" s="23">
        <v>2.0</v>
      </c>
      <c r="H3" s="24">
        <v>5.0</v>
      </c>
      <c r="I3" s="25">
        <v>7.0</v>
      </c>
      <c r="J3" s="26">
        <v>10.0</v>
      </c>
      <c r="K3" s="27">
        <v>11.0</v>
      </c>
      <c r="L3" s="28">
        <v>12.0</v>
      </c>
      <c r="M3" s="29">
        <v>13.0</v>
      </c>
      <c r="N3" s="30">
        <v>16.0</v>
      </c>
      <c r="O3" s="31">
        <v>27.0</v>
      </c>
      <c r="P3" s="32">
        <v>69.0</v>
      </c>
      <c r="Q3" s="33">
        <v>76.0</v>
      </c>
      <c r="R3" s="34">
        <v>77.0</v>
      </c>
      <c r="S3" s="35">
        <v>79.0</v>
      </c>
      <c r="T3" s="36">
        <v>81.0</v>
      </c>
      <c r="U3" s="37" t="s">
        <v>20</v>
      </c>
      <c r="V3" s="37" t="s">
        <v>21</v>
      </c>
      <c r="W3" s="38" t="s">
        <v>22</v>
      </c>
      <c r="X3" s="39" t="s">
        <v>23</v>
      </c>
    </row>
    <row r="4">
      <c r="G4" s="4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>
      <c r="B5" s="41"/>
      <c r="C5" s="42"/>
      <c r="D5" s="42"/>
      <c r="E5" s="42"/>
      <c r="F5" s="43"/>
      <c r="G5" s="4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>
      <c r="B6" s="44" t="s">
        <v>24</v>
      </c>
      <c r="C6" s="21"/>
      <c r="D6" s="45">
        <v>5.0</v>
      </c>
      <c r="E6" s="45"/>
      <c r="F6" s="46">
        <v>39.0</v>
      </c>
      <c r="G6" s="47"/>
      <c r="H6" s="48"/>
      <c r="I6" s="49"/>
      <c r="J6" s="50"/>
      <c r="K6" s="51"/>
      <c r="L6" s="52"/>
      <c r="M6" s="53"/>
      <c r="N6" s="54"/>
      <c r="O6" s="55"/>
      <c r="P6" s="56"/>
      <c r="Q6" s="57"/>
      <c r="R6" s="58"/>
      <c r="S6" s="59"/>
      <c r="T6" s="60"/>
      <c r="U6" s="61">
        <f t="shared" ref="U6:U7" si="1">SUM(G6:T6)</f>
        <v>0</v>
      </c>
      <c r="V6" s="62">
        <f t="shared" ref="V6:V7" si="2">(G6+H6+I6+J6+K6+L6+M6+N6+P6+Q6+R6+S6+T6)*D6</f>
        <v>0</v>
      </c>
      <c r="W6" s="62">
        <f>1.345*U6</f>
        <v>0</v>
      </c>
      <c r="X6" s="63">
        <f t="shared" ref="X6:X7" si="3">U6*F6</f>
        <v>0</v>
      </c>
    </row>
    <row r="7">
      <c r="B7" s="44" t="s">
        <v>25</v>
      </c>
      <c r="C7" s="21"/>
      <c r="D7" s="45">
        <v>4.0</v>
      </c>
      <c r="E7" s="45"/>
      <c r="F7" s="46">
        <v>69.0</v>
      </c>
      <c r="G7" s="64"/>
      <c r="H7" s="48"/>
      <c r="I7" s="49"/>
      <c r="J7" s="50"/>
      <c r="K7" s="51"/>
      <c r="L7" s="52"/>
      <c r="M7" s="53"/>
      <c r="N7" s="54"/>
      <c r="O7" s="55"/>
      <c r="P7" s="56"/>
      <c r="Q7" s="57"/>
      <c r="R7" s="58"/>
      <c r="S7" s="59"/>
      <c r="T7" s="65"/>
      <c r="U7" s="61">
        <f t="shared" si="1"/>
        <v>0</v>
      </c>
      <c r="V7" s="62">
        <f t="shared" si="2"/>
        <v>0</v>
      </c>
      <c r="W7" s="62">
        <f>3.4*U7</f>
        <v>0</v>
      </c>
      <c r="X7" s="63">
        <f t="shared" si="3"/>
        <v>0</v>
      </c>
    </row>
    <row r="8" ht="12.0" customHeight="1">
      <c r="G8" s="66">
        <f t="shared" ref="G8:X8" si="4">SUM(G6:G7)</f>
        <v>0</v>
      </c>
      <c r="H8" s="67">
        <f t="shared" si="4"/>
        <v>0</v>
      </c>
      <c r="I8" s="68">
        <f t="shared" si="4"/>
        <v>0</v>
      </c>
      <c r="J8" s="69">
        <f t="shared" si="4"/>
        <v>0</v>
      </c>
      <c r="K8" s="70">
        <f t="shared" si="4"/>
        <v>0</v>
      </c>
      <c r="L8" s="71">
        <f t="shared" si="4"/>
        <v>0</v>
      </c>
      <c r="M8" s="72">
        <f t="shared" si="4"/>
        <v>0</v>
      </c>
      <c r="N8" s="73">
        <f t="shared" si="4"/>
        <v>0</v>
      </c>
      <c r="O8" s="74">
        <f t="shared" si="4"/>
        <v>0</v>
      </c>
      <c r="P8" s="75">
        <f t="shared" si="4"/>
        <v>0</v>
      </c>
      <c r="Q8" s="76">
        <f t="shared" si="4"/>
        <v>0</v>
      </c>
      <c r="R8" s="77">
        <f t="shared" si="4"/>
        <v>0</v>
      </c>
      <c r="S8" s="78">
        <f t="shared" si="4"/>
        <v>0</v>
      </c>
      <c r="T8" s="79">
        <f t="shared" si="4"/>
        <v>0</v>
      </c>
      <c r="U8" s="80">
        <f t="shared" si="4"/>
        <v>0</v>
      </c>
      <c r="V8" s="80">
        <f t="shared" si="4"/>
        <v>0</v>
      </c>
      <c r="W8" s="80">
        <f t="shared" si="4"/>
        <v>0</v>
      </c>
      <c r="X8" s="81">
        <f t="shared" si="4"/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2:D2"/>
    <mergeCell ref="B5:F5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4.29"/>
    <col customWidth="1" min="3" max="3" width="23.29"/>
    <col customWidth="1" min="4" max="4" width="8.29"/>
    <col customWidth="1" min="5" max="5" width="7.14"/>
    <col customWidth="1" min="6" max="6" width="8.43"/>
    <col customWidth="1" min="7" max="20" width="9.14"/>
    <col customWidth="1" min="21" max="21" width="5.14"/>
    <col customWidth="1" min="22" max="22" width="7.0"/>
    <col customWidth="1" min="23" max="23" width="8.14"/>
    <col customWidth="1" min="24" max="24" width="14.86"/>
  </cols>
  <sheetData>
    <row r="1">
      <c r="F1" s="1"/>
    </row>
    <row r="2" ht="33.0" customHeight="1">
      <c r="B2" s="171" t="s">
        <v>346</v>
      </c>
      <c r="C2" s="4"/>
      <c r="D2" s="4"/>
      <c r="E2" s="172"/>
      <c r="F2" s="6"/>
      <c r="G2" s="173" t="s">
        <v>27</v>
      </c>
      <c r="H2" s="174" t="s">
        <v>2</v>
      </c>
      <c r="I2" s="231" t="s">
        <v>3</v>
      </c>
      <c r="J2" s="176" t="s">
        <v>4</v>
      </c>
      <c r="K2" s="232" t="s">
        <v>5</v>
      </c>
      <c r="L2" s="178" t="s">
        <v>6</v>
      </c>
      <c r="M2" s="179" t="s">
        <v>7</v>
      </c>
      <c r="N2" s="180" t="s">
        <v>8</v>
      </c>
      <c r="O2" s="181" t="s">
        <v>9</v>
      </c>
      <c r="P2" s="182" t="s">
        <v>10</v>
      </c>
      <c r="Q2" s="183" t="s">
        <v>11</v>
      </c>
      <c r="R2" s="184" t="s">
        <v>12</v>
      </c>
      <c r="S2" s="185" t="s">
        <v>13</v>
      </c>
      <c r="T2" s="186" t="s">
        <v>14</v>
      </c>
      <c r="U2" s="5"/>
      <c r="V2" s="5"/>
      <c r="W2" s="5"/>
      <c r="X2" s="187"/>
    </row>
    <row r="3" ht="15.0" customHeight="1">
      <c r="B3" s="188" t="s">
        <v>15</v>
      </c>
      <c r="C3" s="189" t="s">
        <v>218</v>
      </c>
      <c r="D3" s="190" t="s">
        <v>17</v>
      </c>
      <c r="E3" s="190" t="s">
        <v>18</v>
      </c>
      <c r="F3" s="191" t="s">
        <v>19</v>
      </c>
      <c r="G3" s="192">
        <v>2.0</v>
      </c>
      <c r="H3" s="193">
        <v>5.0</v>
      </c>
      <c r="I3" s="233">
        <v>7.0</v>
      </c>
      <c r="J3" s="195">
        <v>10.0</v>
      </c>
      <c r="K3" s="234">
        <v>11.0</v>
      </c>
      <c r="L3" s="197">
        <v>12.0</v>
      </c>
      <c r="M3" s="198">
        <v>13.0</v>
      </c>
      <c r="N3" s="199">
        <v>16.0</v>
      </c>
      <c r="O3" s="200">
        <v>27.0</v>
      </c>
      <c r="P3" s="201">
        <v>69.0</v>
      </c>
      <c r="Q3" s="202">
        <v>76.0</v>
      </c>
      <c r="R3" s="203">
        <v>77.0</v>
      </c>
      <c r="S3" s="122">
        <v>79.0</v>
      </c>
      <c r="T3" s="204">
        <v>81.0</v>
      </c>
      <c r="U3" s="122" t="s">
        <v>20</v>
      </c>
      <c r="V3" s="122" t="s">
        <v>21</v>
      </c>
      <c r="W3" s="122" t="s">
        <v>22</v>
      </c>
      <c r="X3" s="205" t="s">
        <v>91</v>
      </c>
    </row>
    <row r="4">
      <c r="B4" s="172"/>
      <c r="C4" s="172"/>
      <c r="D4" s="172"/>
      <c r="E4" s="172"/>
      <c r="F4" s="6"/>
      <c r="G4" s="5"/>
      <c r="H4" s="5"/>
      <c r="I4" s="5"/>
      <c r="J4" s="207"/>
      <c r="K4" s="5"/>
      <c r="L4" s="5"/>
      <c r="M4" s="5"/>
      <c r="N4" s="5"/>
      <c r="O4" s="5"/>
      <c r="P4" s="5"/>
      <c r="Q4" s="5"/>
      <c r="R4" s="5"/>
      <c r="S4" s="5"/>
      <c r="T4" s="207"/>
      <c r="U4" s="5"/>
      <c r="V4" s="5"/>
      <c r="W4" s="5"/>
      <c r="X4" s="187"/>
    </row>
    <row r="5" ht="129.75" customHeight="1">
      <c r="B5" s="399" t="s">
        <v>347</v>
      </c>
      <c r="C5" s="400"/>
      <c r="D5" s="401">
        <v>8.0</v>
      </c>
      <c r="E5" s="401" t="s">
        <v>348</v>
      </c>
      <c r="F5" s="46">
        <v>93.0</v>
      </c>
      <c r="G5" s="343"/>
      <c r="H5" s="344"/>
      <c r="I5" s="345"/>
      <c r="J5" s="346"/>
      <c r="K5" s="347"/>
      <c r="L5" s="348"/>
      <c r="M5" s="349"/>
      <c r="N5" s="350"/>
      <c r="O5" s="351"/>
      <c r="P5" s="352"/>
      <c r="Q5" s="353"/>
      <c r="R5" s="354"/>
      <c r="S5" s="355"/>
      <c r="T5" s="356"/>
      <c r="U5" s="402">
        <f t="shared" ref="U5:U37" si="1">SUM(G5:T5)</f>
        <v>0</v>
      </c>
      <c r="V5" s="402">
        <f t="shared" ref="V5:V37" si="2">D5*U5</f>
        <v>0</v>
      </c>
      <c r="W5" s="402">
        <f t="shared" ref="W5:W7" si="3">U5*1.48</f>
        <v>0</v>
      </c>
      <c r="X5" s="403">
        <f t="shared" ref="X5:X7" si="4">F5*U5</f>
        <v>0</v>
      </c>
    </row>
    <row r="6" ht="129.75" customHeight="1">
      <c r="B6" s="399" t="s">
        <v>349</v>
      </c>
      <c r="C6" s="400"/>
      <c r="D6" s="401">
        <v>10.0</v>
      </c>
      <c r="E6" s="401" t="s">
        <v>350</v>
      </c>
      <c r="F6" s="46">
        <v>130.0</v>
      </c>
      <c r="G6" s="343"/>
      <c r="H6" s="344"/>
      <c r="I6" s="345"/>
      <c r="J6" s="346"/>
      <c r="K6" s="347"/>
      <c r="L6" s="348"/>
      <c r="M6" s="349"/>
      <c r="N6" s="350"/>
      <c r="O6" s="351"/>
      <c r="P6" s="352"/>
      <c r="Q6" s="353"/>
      <c r="R6" s="354"/>
      <c r="S6" s="355"/>
      <c r="T6" s="356"/>
      <c r="U6" s="402">
        <f t="shared" si="1"/>
        <v>0</v>
      </c>
      <c r="V6" s="402">
        <f t="shared" si="2"/>
        <v>0</v>
      </c>
      <c r="W6" s="402">
        <f t="shared" si="3"/>
        <v>0</v>
      </c>
      <c r="X6" s="403">
        <f t="shared" si="4"/>
        <v>0</v>
      </c>
    </row>
    <row r="7" ht="129.75" customHeight="1">
      <c r="B7" s="399" t="s">
        <v>301</v>
      </c>
      <c r="C7" s="400"/>
      <c r="D7" s="401">
        <v>5.0</v>
      </c>
      <c r="E7" s="401" t="s">
        <v>351</v>
      </c>
      <c r="F7" s="46">
        <v>83.0</v>
      </c>
      <c r="G7" s="343"/>
      <c r="H7" s="344"/>
      <c r="I7" s="345"/>
      <c r="J7" s="346"/>
      <c r="K7" s="347"/>
      <c r="L7" s="348"/>
      <c r="M7" s="349"/>
      <c r="N7" s="350"/>
      <c r="O7" s="351"/>
      <c r="P7" s="352"/>
      <c r="Q7" s="353"/>
      <c r="R7" s="354"/>
      <c r="S7" s="355"/>
      <c r="T7" s="356"/>
      <c r="U7" s="402">
        <f t="shared" si="1"/>
        <v>0</v>
      </c>
      <c r="V7" s="402">
        <f t="shared" si="2"/>
        <v>0</v>
      </c>
      <c r="W7" s="402">
        <f t="shared" si="3"/>
        <v>0</v>
      </c>
      <c r="X7" s="403">
        <f t="shared" si="4"/>
        <v>0</v>
      </c>
    </row>
    <row r="8" ht="129.75" customHeight="1">
      <c r="B8" s="239" t="s">
        <v>230</v>
      </c>
      <c r="C8" s="240"/>
      <c r="D8" s="241">
        <v>10.0</v>
      </c>
      <c r="E8" s="241" t="s">
        <v>352</v>
      </c>
      <c r="F8" s="46">
        <v>78.0</v>
      </c>
      <c r="G8" s="243"/>
      <c r="H8" s="244"/>
      <c r="I8" s="245"/>
      <c r="J8" s="246"/>
      <c r="K8" s="247"/>
      <c r="L8" s="248"/>
      <c r="M8" s="249"/>
      <c r="N8" s="250"/>
      <c r="O8" s="251"/>
      <c r="P8" s="252"/>
      <c r="Q8" s="253"/>
      <c r="R8" s="254"/>
      <c r="S8" s="255"/>
      <c r="T8" s="256"/>
      <c r="U8" s="402">
        <f t="shared" si="1"/>
        <v>0</v>
      </c>
      <c r="V8" s="402">
        <f t="shared" si="2"/>
        <v>0</v>
      </c>
      <c r="W8" s="257">
        <f>U8*1.1</f>
        <v>0</v>
      </c>
      <c r="X8" s="258">
        <f>U8*F8</f>
        <v>0</v>
      </c>
    </row>
    <row r="9" ht="129.75" customHeight="1">
      <c r="B9" s="150" t="s">
        <v>139</v>
      </c>
      <c r="C9" s="151"/>
      <c r="D9" s="117">
        <v>5.0</v>
      </c>
      <c r="E9" s="117" t="s">
        <v>353</v>
      </c>
      <c r="F9" s="46">
        <v>73.0</v>
      </c>
      <c r="G9" s="208"/>
      <c r="H9" s="209"/>
      <c r="I9" s="236"/>
      <c r="J9" s="224"/>
      <c r="K9" s="237"/>
      <c r="L9" s="213"/>
      <c r="M9" s="214"/>
      <c r="N9" s="215"/>
      <c r="O9" s="216"/>
      <c r="P9" s="217"/>
      <c r="Q9" s="218"/>
      <c r="R9" s="219"/>
      <c r="S9" s="220"/>
      <c r="T9" s="221"/>
      <c r="U9" s="402">
        <f t="shared" si="1"/>
        <v>0</v>
      </c>
      <c r="V9" s="402">
        <f t="shared" si="2"/>
        <v>0</v>
      </c>
      <c r="W9" s="222">
        <f>U9*1.23</f>
        <v>0</v>
      </c>
      <c r="X9" s="262">
        <f t="shared" ref="X9:X35" si="5">F9*U9</f>
        <v>0</v>
      </c>
    </row>
    <row r="10" ht="129.75" customHeight="1">
      <c r="B10" s="239" t="s">
        <v>137</v>
      </c>
      <c r="C10" s="240"/>
      <c r="D10" s="241">
        <v>10.0</v>
      </c>
      <c r="E10" s="241" t="s">
        <v>354</v>
      </c>
      <c r="F10" s="46">
        <v>81.0</v>
      </c>
      <c r="G10" s="243"/>
      <c r="H10" s="244"/>
      <c r="I10" s="245"/>
      <c r="J10" s="246"/>
      <c r="K10" s="247"/>
      <c r="L10" s="248"/>
      <c r="M10" s="249"/>
      <c r="N10" s="250"/>
      <c r="O10" s="251"/>
      <c r="P10" s="252"/>
      <c r="Q10" s="253"/>
      <c r="R10" s="254"/>
      <c r="S10" s="255"/>
      <c r="T10" s="256"/>
      <c r="U10" s="402">
        <f t="shared" si="1"/>
        <v>0</v>
      </c>
      <c r="V10" s="402">
        <f t="shared" si="2"/>
        <v>0</v>
      </c>
      <c r="W10" s="257">
        <f>U10*1.1</f>
        <v>0</v>
      </c>
      <c r="X10" s="258">
        <f t="shared" si="5"/>
        <v>0</v>
      </c>
    </row>
    <row r="11" ht="129.75" customHeight="1">
      <c r="B11" s="239" t="s">
        <v>355</v>
      </c>
      <c r="C11" s="240"/>
      <c r="D11" s="241">
        <v>5.0</v>
      </c>
      <c r="E11" s="241" t="s">
        <v>356</v>
      </c>
      <c r="F11" s="46">
        <v>89.0</v>
      </c>
      <c r="G11" s="243"/>
      <c r="H11" s="244"/>
      <c r="I11" s="245"/>
      <c r="J11" s="246"/>
      <c r="K11" s="247"/>
      <c r="L11" s="248"/>
      <c r="M11" s="249"/>
      <c r="N11" s="250"/>
      <c r="O11" s="251"/>
      <c r="P11" s="252"/>
      <c r="Q11" s="253"/>
      <c r="R11" s="254"/>
      <c r="S11" s="255"/>
      <c r="T11" s="256"/>
      <c r="U11" s="402">
        <f t="shared" si="1"/>
        <v>0</v>
      </c>
      <c r="V11" s="402">
        <f t="shared" si="2"/>
        <v>0</v>
      </c>
      <c r="W11" s="257">
        <f>U11*1.58</f>
        <v>0</v>
      </c>
      <c r="X11" s="258">
        <f t="shared" si="5"/>
        <v>0</v>
      </c>
    </row>
    <row r="12" ht="129.75" customHeight="1">
      <c r="B12" s="239" t="s">
        <v>223</v>
      </c>
      <c r="C12" s="240"/>
      <c r="D12" s="241">
        <v>10.0</v>
      </c>
      <c r="E12" s="241" t="s">
        <v>357</v>
      </c>
      <c r="F12" s="46">
        <v>96.0</v>
      </c>
      <c r="G12" s="243"/>
      <c r="H12" s="244"/>
      <c r="I12" s="245"/>
      <c r="J12" s="246"/>
      <c r="K12" s="247"/>
      <c r="L12" s="248"/>
      <c r="M12" s="249"/>
      <c r="N12" s="250"/>
      <c r="O12" s="251"/>
      <c r="P12" s="252"/>
      <c r="Q12" s="253"/>
      <c r="R12" s="254"/>
      <c r="S12" s="255"/>
      <c r="T12" s="256"/>
      <c r="U12" s="402">
        <f t="shared" si="1"/>
        <v>0</v>
      </c>
      <c r="V12" s="402">
        <f t="shared" si="2"/>
        <v>0</v>
      </c>
      <c r="W12" s="257">
        <f>U12*1.43</f>
        <v>0</v>
      </c>
      <c r="X12" s="258">
        <f t="shared" si="5"/>
        <v>0</v>
      </c>
    </row>
    <row r="13" ht="129.75" customHeight="1">
      <c r="B13" s="239" t="s">
        <v>358</v>
      </c>
      <c r="C13" s="240"/>
      <c r="D13" s="241">
        <v>10.0</v>
      </c>
      <c r="E13" s="241" t="s">
        <v>359</v>
      </c>
      <c r="F13" s="46">
        <v>145.0</v>
      </c>
      <c r="G13" s="243"/>
      <c r="H13" s="244"/>
      <c r="I13" s="245"/>
      <c r="J13" s="246"/>
      <c r="K13" s="247"/>
      <c r="L13" s="248"/>
      <c r="M13" s="249"/>
      <c r="N13" s="250"/>
      <c r="O13" s="251"/>
      <c r="P13" s="252"/>
      <c r="Q13" s="253"/>
      <c r="R13" s="254"/>
      <c r="S13" s="255"/>
      <c r="T13" s="256"/>
      <c r="U13" s="402">
        <f t="shared" si="1"/>
        <v>0</v>
      </c>
      <c r="V13" s="402">
        <f t="shared" si="2"/>
        <v>0</v>
      </c>
      <c r="W13" s="257">
        <f>U13*2.52</f>
        <v>0</v>
      </c>
      <c r="X13" s="258">
        <f t="shared" si="5"/>
        <v>0</v>
      </c>
    </row>
    <row r="14" ht="129.75" customHeight="1">
      <c r="B14" s="150" t="s">
        <v>360</v>
      </c>
      <c r="C14" s="151"/>
      <c r="D14" s="117">
        <v>10.0</v>
      </c>
      <c r="E14" s="117" t="s">
        <v>361</v>
      </c>
      <c r="F14" s="46">
        <v>99.0</v>
      </c>
      <c r="G14" s="208"/>
      <c r="H14" s="209"/>
      <c r="I14" s="236"/>
      <c r="J14" s="224"/>
      <c r="K14" s="237"/>
      <c r="L14" s="213"/>
      <c r="M14" s="214"/>
      <c r="N14" s="215"/>
      <c r="O14" s="216"/>
      <c r="P14" s="217"/>
      <c r="Q14" s="218"/>
      <c r="R14" s="219"/>
      <c r="S14" s="220"/>
      <c r="T14" s="221"/>
      <c r="U14" s="402">
        <f t="shared" si="1"/>
        <v>0</v>
      </c>
      <c r="V14" s="402">
        <f t="shared" si="2"/>
        <v>0</v>
      </c>
      <c r="W14" s="222">
        <f>U14*1.5</f>
        <v>0</v>
      </c>
      <c r="X14" s="262">
        <f t="shared" si="5"/>
        <v>0</v>
      </c>
    </row>
    <row r="15" ht="129.75" customHeight="1">
      <c r="B15" s="150" t="s">
        <v>362</v>
      </c>
      <c r="C15" s="151"/>
      <c r="D15" s="117">
        <v>10.0</v>
      </c>
      <c r="E15" s="117" t="s">
        <v>363</v>
      </c>
      <c r="F15" s="46">
        <v>121.0</v>
      </c>
      <c r="G15" s="208"/>
      <c r="H15" s="209"/>
      <c r="I15" s="236"/>
      <c r="J15" s="224"/>
      <c r="K15" s="237"/>
      <c r="L15" s="213"/>
      <c r="M15" s="214"/>
      <c r="N15" s="215"/>
      <c r="O15" s="216"/>
      <c r="P15" s="217"/>
      <c r="Q15" s="218"/>
      <c r="R15" s="219"/>
      <c r="S15" s="220"/>
      <c r="T15" s="221"/>
      <c r="U15" s="402">
        <f t="shared" si="1"/>
        <v>0</v>
      </c>
      <c r="V15" s="402">
        <f t="shared" si="2"/>
        <v>0</v>
      </c>
      <c r="W15" s="222">
        <f>U15*1.98</f>
        <v>0</v>
      </c>
      <c r="X15" s="262">
        <f t="shared" si="5"/>
        <v>0</v>
      </c>
    </row>
    <row r="16" ht="129.75" customHeight="1">
      <c r="B16" s="150" t="s">
        <v>364</v>
      </c>
      <c r="C16" s="151"/>
      <c r="D16" s="117">
        <v>10.0</v>
      </c>
      <c r="E16" s="117" t="s">
        <v>365</v>
      </c>
      <c r="F16" s="46">
        <v>103.0</v>
      </c>
      <c r="G16" s="208"/>
      <c r="H16" s="209"/>
      <c r="I16" s="236"/>
      <c r="J16" s="224"/>
      <c r="K16" s="237"/>
      <c r="L16" s="213"/>
      <c r="M16" s="214"/>
      <c r="N16" s="215"/>
      <c r="O16" s="216"/>
      <c r="P16" s="217"/>
      <c r="Q16" s="218"/>
      <c r="R16" s="219"/>
      <c r="S16" s="220"/>
      <c r="T16" s="221"/>
      <c r="U16" s="402">
        <f t="shared" si="1"/>
        <v>0</v>
      </c>
      <c r="V16" s="402">
        <f t="shared" si="2"/>
        <v>0</v>
      </c>
      <c r="W16" s="222">
        <f>U16*1.58</f>
        <v>0</v>
      </c>
      <c r="X16" s="262">
        <f t="shared" si="5"/>
        <v>0</v>
      </c>
    </row>
    <row r="17" ht="129.75" customHeight="1">
      <c r="B17" s="150" t="s">
        <v>366</v>
      </c>
      <c r="C17" s="151"/>
      <c r="D17" s="117">
        <v>10.0</v>
      </c>
      <c r="E17" s="117" t="s">
        <v>367</v>
      </c>
      <c r="F17" s="46">
        <v>100.0</v>
      </c>
      <c r="G17" s="208"/>
      <c r="H17" s="209"/>
      <c r="I17" s="236"/>
      <c r="J17" s="224"/>
      <c r="K17" s="237"/>
      <c r="L17" s="213"/>
      <c r="M17" s="214"/>
      <c r="N17" s="215"/>
      <c r="O17" s="216"/>
      <c r="P17" s="217"/>
      <c r="Q17" s="218"/>
      <c r="R17" s="219"/>
      <c r="S17" s="220"/>
      <c r="T17" s="221"/>
      <c r="U17" s="402">
        <f t="shared" si="1"/>
        <v>0</v>
      </c>
      <c r="V17" s="402">
        <f t="shared" si="2"/>
        <v>0</v>
      </c>
      <c r="W17" s="222">
        <f>U17*1.52</f>
        <v>0</v>
      </c>
      <c r="X17" s="262">
        <f t="shared" si="5"/>
        <v>0</v>
      </c>
    </row>
    <row r="18" ht="129.75" customHeight="1">
      <c r="B18" s="150" t="s">
        <v>368</v>
      </c>
      <c r="C18" s="151"/>
      <c r="D18" s="117">
        <v>3.0</v>
      </c>
      <c r="E18" s="117" t="s">
        <v>369</v>
      </c>
      <c r="F18" s="46">
        <v>90.0</v>
      </c>
      <c r="G18" s="208"/>
      <c r="H18" s="209"/>
      <c r="I18" s="236"/>
      <c r="J18" s="224"/>
      <c r="K18" s="237"/>
      <c r="L18" s="213"/>
      <c r="M18" s="214"/>
      <c r="N18" s="215"/>
      <c r="O18" s="216"/>
      <c r="P18" s="217"/>
      <c r="Q18" s="218"/>
      <c r="R18" s="219"/>
      <c r="S18" s="220"/>
      <c r="T18" s="221"/>
      <c r="U18" s="402">
        <f t="shared" si="1"/>
        <v>0</v>
      </c>
      <c r="V18" s="402">
        <f t="shared" si="2"/>
        <v>0</v>
      </c>
      <c r="W18" s="222">
        <f>U18*0.95</f>
        <v>0</v>
      </c>
      <c r="X18" s="262">
        <f t="shared" si="5"/>
        <v>0</v>
      </c>
    </row>
    <row r="19" ht="129.75" customHeight="1">
      <c r="B19" s="150" t="s">
        <v>244</v>
      </c>
      <c r="C19" s="151"/>
      <c r="D19" s="117">
        <v>10.0</v>
      </c>
      <c r="E19" s="117" t="s">
        <v>370</v>
      </c>
      <c r="F19" s="46">
        <v>138.0</v>
      </c>
      <c r="G19" s="208"/>
      <c r="H19" s="209"/>
      <c r="I19" s="236"/>
      <c r="J19" s="224"/>
      <c r="K19" s="237"/>
      <c r="L19" s="213"/>
      <c r="M19" s="214"/>
      <c r="N19" s="215"/>
      <c r="O19" s="216"/>
      <c r="P19" s="217"/>
      <c r="Q19" s="218"/>
      <c r="R19" s="219"/>
      <c r="S19" s="220"/>
      <c r="T19" s="221"/>
      <c r="U19" s="402">
        <f t="shared" si="1"/>
        <v>0</v>
      </c>
      <c r="V19" s="402">
        <f t="shared" si="2"/>
        <v>0</v>
      </c>
      <c r="W19" s="222">
        <f>U19*2.4</f>
        <v>0</v>
      </c>
      <c r="X19" s="262">
        <f t="shared" si="5"/>
        <v>0</v>
      </c>
    </row>
    <row r="20" ht="129.75" customHeight="1">
      <c r="B20" s="150" t="s">
        <v>371</v>
      </c>
      <c r="C20" s="151"/>
      <c r="D20" s="117">
        <v>10.0</v>
      </c>
      <c r="E20" s="117" t="s">
        <v>372</v>
      </c>
      <c r="F20" s="46">
        <v>180.0</v>
      </c>
      <c r="G20" s="208"/>
      <c r="H20" s="209"/>
      <c r="I20" s="236"/>
      <c r="J20" s="224"/>
      <c r="K20" s="237"/>
      <c r="L20" s="213"/>
      <c r="M20" s="214"/>
      <c r="N20" s="215"/>
      <c r="O20" s="216"/>
      <c r="P20" s="217"/>
      <c r="Q20" s="218"/>
      <c r="R20" s="219"/>
      <c r="S20" s="220"/>
      <c r="T20" s="221"/>
      <c r="U20" s="402">
        <f t="shared" si="1"/>
        <v>0</v>
      </c>
      <c r="V20" s="402">
        <f t="shared" si="2"/>
        <v>0</v>
      </c>
      <c r="W20" s="222">
        <f>U20*3.31</f>
        <v>0</v>
      </c>
      <c r="X20" s="262">
        <f t="shared" si="5"/>
        <v>0</v>
      </c>
    </row>
    <row r="21" ht="129.75" customHeight="1">
      <c r="B21" s="150" t="s">
        <v>373</v>
      </c>
      <c r="C21" s="151"/>
      <c r="D21" s="117">
        <v>5.0</v>
      </c>
      <c r="E21" s="117" t="s">
        <v>374</v>
      </c>
      <c r="F21" s="46">
        <v>106.0</v>
      </c>
      <c r="G21" s="208"/>
      <c r="H21" s="209"/>
      <c r="I21" s="236"/>
      <c r="J21" s="224"/>
      <c r="K21" s="237"/>
      <c r="L21" s="213"/>
      <c r="M21" s="214"/>
      <c r="N21" s="215"/>
      <c r="O21" s="216"/>
      <c r="P21" s="217"/>
      <c r="Q21" s="218"/>
      <c r="R21" s="219"/>
      <c r="S21" s="220"/>
      <c r="T21" s="221"/>
      <c r="U21" s="402">
        <f t="shared" si="1"/>
        <v>0</v>
      </c>
      <c r="V21" s="402">
        <f t="shared" si="2"/>
        <v>0</v>
      </c>
      <c r="W21" s="222">
        <f>U21*1.96</f>
        <v>0</v>
      </c>
      <c r="X21" s="262">
        <f t="shared" si="5"/>
        <v>0</v>
      </c>
    </row>
    <row r="22" ht="129.75" customHeight="1">
      <c r="B22" s="150" t="s">
        <v>375</v>
      </c>
      <c r="C22" s="151"/>
      <c r="D22" s="117">
        <v>5.0</v>
      </c>
      <c r="E22" s="117" t="s">
        <v>376</v>
      </c>
      <c r="F22" s="46">
        <v>67.0</v>
      </c>
      <c r="G22" s="208"/>
      <c r="H22" s="209"/>
      <c r="I22" s="236"/>
      <c r="J22" s="224"/>
      <c r="K22" s="237"/>
      <c r="L22" s="213"/>
      <c r="M22" s="214"/>
      <c r="N22" s="215"/>
      <c r="O22" s="216"/>
      <c r="P22" s="217"/>
      <c r="Q22" s="218"/>
      <c r="R22" s="219"/>
      <c r="S22" s="220"/>
      <c r="T22" s="221"/>
      <c r="U22" s="402">
        <f t="shared" si="1"/>
        <v>0</v>
      </c>
      <c r="V22" s="402">
        <f t="shared" si="2"/>
        <v>0</v>
      </c>
      <c r="W22" s="222">
        <f>U22*1.1</f>
        <v>0</v>
      </c>
      <c r="X22" s="262">
        <f t="shared" si="5"/>
        <v>0</v>
      </c>
    </row>
    <row r="23" ht="129.75" customHeight="1">
      <c r="B23" s="150" t="s">
        <v>377</v>
      </c>
      <c r="C23" s="151"/>
      <c r="D23" s="117">
        <v>5.0</v>
      </c>
      <c r="E23" s="117" t="s">
        <v>378</v>
      </c>
      <c r="F23" s="46">
        <v>69.0</v>
      </c>
      <c r="G23" s="208"/>
      <c r="H23" s="209"/>
      <c r="I23" s="236"/>
      <c r="J23" s="224"/>
      <c r="K23" s="237"/>
      <c r="L23" s="213"/>
      <c r="M23" s="214"/>
      <c r="N23" s="215"/>
      <c r="O23" s="216"/>
      <c r="P23" s="217"/>
      <c r="Q23" s="218"/>
      <c r="R23" s="219"/>
      <c r="S23" s="220"/>
      <c r="T23" s="221"/>
      <c r="U23" s="402">
        <f t="shared" si="1"/>
        <v>0</v>
      </c>
      <c r="V23" s="402">
        <f t="shared" si="2"/>
        <v>0</v>
      </c>
      <c r="W23" s="222">
        <f>U23*1.14</f>
        <v>0</v>
      </c>
      <c r="X23" s="262">
        <f t="shared" si="5"/>
        <v>0</v>
      </c>
    </row>
    <row r="24" ht="129.75" customHeight="1">
      <c r="B24" s="150" t="s">
        <v>379</v>
      </c>
      <c r="C24" s="151"/>
      <c r="D24" s="117">
        <v>5.0</v>
      </c>
      <c r="E24" s="117" t="s">
        <v>380</v>
      </c>
      <c r="F24" s="46">
        <v>141.0</v>
      </c>
      <c r="G24" s="208"/>
      <c r="H24" s="209"/>
      <c r="I24" s="236"/>
      <c r="J24" s="224"/>
      <c r="K24" s="237"/>
      <c r="L24" s="213"/>
      <c r="M24" s="214"/>
      <c r="N24" s="215"/>
      <c r="O24" s="216"/>
      <c r="P24" s="217"/>
      <c r="Q24" s="218"/>
      <c r="R24" s="219"/>
      <c r="S24" s="220"/>
      <c r="T24" s="221"/>
      <c r="U24" s="402">
        <f t="shared" si="1"/>
        <v>0</v>
      </c>
      <c r="V24" s="402">
        <f t="shared" si="2"/>
        <v>0</v>
      </c>
      <c r="W24" s="222">
        <f>U24*1.52</f>
        <v>0</v>
      </c>
      <c r="X24" s="262">
        <f t="shared" si="5"/>
        <v>0</v>
      </c>
    </row>
    <row r="25" ht="129.75" customHeight="1">
      <c r="B25" s="150" t="s">
        <v>381</v>
      </c>
      <c r="C25" s="151"/>
      <c r="D25" s="117">
        <v>5.0</v>
      </c>
      <c r="E25" s="117" t="s">
        <v>382</v>
      </c>
      <c r="F25" s="46">
        <v>138.0</v>
      </c>
      <c r="G25" s="208"/>
      <c r="H25" s="209"/>
      <c r="I25" s="236"/>
      <c r="J25" s="224"/>
      <c r="K25" s="237"/>
      <c r="L25" s="213"/>
      <c r="M25" s="214"/>
      <c r="N25" s="215"/>
      <c r="O25" s="216"/>
      <c r="P25" s="217"/>
      <c r="Q25" s="218"/>
      <c r="R25" s="219"/>
      <c r="S25" s="220"/>
      <c r="T25" s="221"/>
      <c r="U25" s="402">
        <f t="shared" si="1"/>
        <v>0</v>
      </c>
      <c r="V25" s="402">
        <f t="shared" si="2"/>
        <v>0</v>
      </c>
      <c r="W25" s="222">
        <f>U25*2.68</f>
        <v>0</v>
      </c>
      <c r="X25" s="262">
        <f t="shared" si="5"/>
        <v>0</v>
      </c>
    </row>
    <row r="26" ht="129.75" customHeight="1">
      <c r="B26" s="150" t="s">
        <v>383</v>
      </c>
      <c r="C26" s="151"/>
      <c r="D26" s="117">
        <v>5.0</v>
      </c>
      <c r="E26" s="117" t="s">
        <v>384</v>
      </c>
      <c r="F26" s="46">
        <v>108.0</v>
      </c>
      <c r="G26" s="208"/>
      <c r="H26" s="209"/>
      <c r="I26" s="236"/>
      <c r="J26" s="224"/>
      <c r="K26" s="237"/>
      <c r="L26" s="213"/>
      <c r="M26" s="214"/>
      <c r="N26" s="215"/>
      <c r="O26" s="216"/>
      <c r="P26" s="217"/>
      <c r="Q26" s="218"/>
      <c r="R26" s="219"/>
      <c r="S26" s="220"/>
      <c r="T26" s="221"/>
      <c r="U26" s="402">
        <f t="shared" si="1"/>
        <v>0</v>
      </c>
      <c r="V26" s="402">
        <f t="shared" si="2"/>
        <v>0</v>
      </c>
      <c r="W26" s="222">
        <f>U26*2</f>
        <v>0</v>
      </c>
      <c r="X26" s="262">
        <f t="shared" si="5"/>
        <v>0</v>
      </c>
    </row>
    <row r="27" ht="129.75" customHeight="1">
      <c r="B27" s="150" t="s">
        <v>385</v>
      </c>
      <c r="C27" s="151"/>
      <c r="D27" s="117">
        <v>5.0</v>
      </c>
      <c r="E27" s="117" t="s">
        <v>386</v>
      </c>
      <c r="F27" s="46">
        <v>147.0</v>
      </c>
      <c r="G27" s="208"/>
      <c r="H27" s="209"/>
      <c r="I27" s="236"/>
      <c r="J27" s="224"/>
      <c r="K27" s="237"/>
      <c r="L27" s="213"/>
      <c r="M27" s="214"/>
      <c r="N27" s="215"/>
      <c r="O27" s="216"/>
      <c r="P27" s="217"/>
      <c r="Q27" s="218"/>
      <c r="R27" s="219"/>
      <c r="S27" s="220"/>
      <c r="T27" s="221"/>
      <c r="U27" s="402">
        <f t="shared" si="1"/>
        <v>0</v>
      </c>
      <c r="V27" s="402">
        <f t="shared" si="2"/>
        <v>0</v>
      </c>
      <c r="W27" s="222">
        <f>U27*1.63</f>
        <v>0</v>
      </c>
      <c r="X27" s="262">
        <f t="shared" si="5"/>
        <v>0</v>
      </c>
    </row>
    <row r="28" ht="129.75" customHeight="1">
      <c r="B28" s="150" t="s">
        <v>387</v>
      </c>
      <c r="C28" s="151"/>
      <c r="D28" s="117">
        <v>5.0</v>
      </c>
      <c r="E28" s="117" t="s">
        <v>388</v>
      </c>
      <c r="F28" s="46">
        <v>101.0</v>
      </c>
      <c r="G28" s="208"/>
      <c r="H28" s="209"/>
      <c r="I28" s="236"/>
      <c r="J28" s="224"/>
      <c r="K28" s="237"/>
      <c r="L28" s="213"/>
      <c r="M28" s="214"/>
      <c r="N28" s="215"/>
      <c r="O28" s="216"/>
      <c r="P28" s="217"/>
      <c r="Q28" s="218"/>
      <c r="R28" s="219"/>
      <c r="S28" s="220"/>
      <c r="T28" s="221"/>
      <c r="U28" s="402">
        <f t="shared" si="1"/>
        <v>0</v>
      </c>
      <c r="V28" s="402">
        <f t="shared" si="2"/>
        <v>0</v>
      </c>
      <c r="W28" s="222">
        <f>U28*1.86</f>
        <v>0</v>
      </c>
      <c r="X28" s="262">
        <f t="shared" si="5"/>
        <v>0</v>
      </c>
    </row>
    <row r="29" ht="129.75" customHeight="1">
      <c r="B29" s="150" t="s">
        <v>389</v>
      </c>
      <c r="C29" s="151"/>
      <c r="D29" s="117">
        <v>3.0</v>
      </c>
      <c r="E29" s="117" t="s">
        <v>390</v>
      </c>
      <c r="F29" s="46">
        <v>120.0</v>
      </c>
      <c r="G29" s="208"/>
      <c r="H29" s="209"/>
      <c r="I29" s="236"/>
      <c r="J29" s="224"/>
      <c r="K29" s="237"/>
      <c r="L29" s="213"/>
      <c r="M29" s="214"/>
      <c r="N29" s="215"/>
      <c r="O29" s="216"/>
      <c r="P29" s="217"/>
      <c r="Q29" s="218"/>
      <c r="R29" s="219"/>
      <c r="S29" s="220"/>
      <c r="T29" s="221"/>
      <c r="U29" s="402">
        <f t="shared" si="1"/>
        <v>0</v>
      </c>
      <c r="V29" s="402">
        <f t="shared" si="2"/>
        <v>0</v>
      </c>
      <c r="W29" s="222">
        <f>U29*1.55</f>
        <v>0</v>
      </c>
      <c r="X29" s="262">
        <f t="shared" si="5"/>
        <v>0</v>
      </c>
    </row>
    <row r="30" ht="129.75" customHeight="1">
      <c r="B30" s="404" t="s">
        <v>391</v>
      </c>
      <c r="C30" s="405"/>
      <c r="D30" s="406">
        <v>4.0</v>
      </c>
      <c r="E30" s="406" t="s">
        <v>392</v>
      </c>
      <c r="F30" s="46">
        <v>210.0</v>
      </c>
      <c r="G30" s="368"/>
      <c r="H30" s="369"/>
      <c r="I30" s="370"/>
      <c r="J30" s="371"/>
      <c r="K30" s="372"/>
      <c r="L30" s="373"/>
      <c r="M30" s="374"/>
      <c r="N30" s="375"/>
      <c r="O30" s="376"/>
      <c r="P30" s="377"/>
      <c r="Q30" s="378"/>
      <c r="R30" s="379"/>
      <c r="S30" s="380"/>
      <c r="T30" s="381"/>
      <c r="U30" s="402">
        <f t="shared" si="1"/>
        <v>0</v>
      </c>
      <c r="V30" s="402">
        <f t="shared" si="2"/>
        <v>0</v>
      </c>
      <c r="W30" s="382">
        <f>U30*3.02</f>
        <v>0</v>
      </c>
      <c r="X30" s="383">
        <f t="shared" si="5"/>
        <v>0</v>
      </c>
    </row>
    <row r="31" ht="129.75" customHeight="1">
      <c r="B31" s="404" t="s">
        <v>393</v>
      </c>
      <c r="C31" s="405"/>
      <c r="D31" s="406">
        <v>5.0</v>
      </c>
      <c r="E31" s="406" t="s">
        <v>394</v>
      </c>
      <c r="F31" s="46">
        <v>190.0</v>
      </c>
      <c r="G31" s="368"/>
      <c r="H31" s="369"/>
      <c r="I31" s="370"/>
      <c r="J31" s="371"/>
      <c r="K31" s="372"/>
      <c r="L31" s="373"/>
      <c r="M31" s="374"/>
      <c r="N31" s="375"/>
      <c r="O31" s="376"/>
      <c r="P31" s="377"/>
      <c r="Q31" s="378"/>
      <c r="R31" s="379"/>
      <c r="S31" s="380"/>
      <c r="T31" s="381"/>
      <c r="U31" s="402">
        <f t="shared" si="1"/>
        <v>0</v>
      </c>
      <c r="V31" s="402">
        <f t="shared" si="2"/>
        <v>0</v>
      </c>
      <c r="W31" s="382">
        <f>U31*2.46</f>
        <v>0</v>
      </c>
      <c r="X31" s="383">
        <f t="shared" si="5"/>
        <v>0</v>
      </c>
    </row>
    <row r="32" ht="129.75" customHeight="1">
      <c r="B32" s="404" t="s">
        <v>395</v>
      </c>
      <c r="C32" s="405"/>
      <c r="D32" s="406">
        <v>5.0</v>
      </c>
      <c r="E32" s="406" t="s">
        <v>396</v>
      </c>
      <c r="F32" s="46">
        <v>174.0</v>
      </c>
      <c r="G32" s="368"/>
      <c r="H32" s="369"/>
      <c r="I32" s="370"/>
      <c r="J32" s="371"/>
      <c r="K32" s="372"/>
      <c r="L32" s="373"/>
      <c r="M32" s="374"/>
      <c r="N32" s="375"/>
      <c r="O32" s="376"/>
      <c r="P32" s="377"/>
      <c r="Q32" s="378"/>
      <c r="R32" s="379"/>
      <c r="S32" s="380"/>
      <c r="T32" s="381"/>
      <c r="U32" s="402">
        <f t="shared" si="1"/>
        <v>0</v>
      </c>
      <c r="V32" s="402">
        <f t="shared" si="2"/>
        <v>0</v>
      </c>
      <c r="W32" s="382">
        <f>U32*3.46</f>
        <v>0</v>
      </c>
      <c r="X32" s="383">
        <f t="shared" si="5"/>
        <v>0</v>
      </c>
    </row>
    <row r="33" ht="129.75" customHeight="1">
      <c r="B33" s="150" t="s">
        <v>397</v>
      </c>
      <c r="C33" s="151"/>
      <c r="D33" s="117">
        <v>5.0</v>
      </c>
      <c r="E33" s="117" t="s">
        <v>398</v>
      </c>
      <c r="F33" s="46">
        <v>71.0</v>
      </c>
      <c r="G33" s="208"/>
      <c r="H33" s="209"/>
      <c r="I33" s="236"/>
      <c r="J33" s="224"/>
      <c r="K33" s="237"/>
      <c r="L33" s="213"/>
      <c r="M33" s="214"/>
      <c r="N33" s="215"/>
      <c r="O33" s="216"/>
      <c r="P33" s="217"/>
      <c r="Q33" s="218"/>
      <c r="R33" s="219"/>
      <c r="S33" s="220"/>
      <c r="T33" s="221"/>
      <c r="U33" s="402">
        <f t="shared" si="1"/>
        <v>0</v>
      </c>
      <c r="V33" s="402">
        <f t="shared" si="2"/>
        <v>0</v>
      </c>
      <c r="W33" s="222">
        <f>U33*1.67</f>
        <v>0</v>
      </c>
      <c r="X33" s="262">
        <f t="shared" si="5"/>
        <v>0</v>
      </c>
    </row>
    <row r="34" ht="129.75" customHeight="1">
      <c r="B34" s="150" t="s">
        <v>252</v>
      </c>
      <c r="C34" s="151"/>
      <c r="D34" s="117">
        <v>5.0</v>
      </c>
      <c r="E34" s="117" t="s">
        <v>399</v>
      </c>
      <c r="F34" s="46">
        <v>98.0</v>
      </c>
      <c r="G34" s="208"/>
      <c r="H34" s="209"/>
      <c r="I34" s="236"/>
      <c r="J34" s="224"/>
      <c r="K34" s="237"/>
      <c r="L34" s="213"/>
      <c r="M34" s="214"/>
      <c r="N34" s="215"/>
      <c r="O34" s="216"/>
      <c r="P34" s="217"/>
      <c r="Q34" s="218"/>
      <c r="R34" s="219"/>
      <c r="S34" s="220"/>
      <c r="T34" s="221"/>
      <c r="U34" s="402">
        <f t="shared" si="1"/>
        <v>0</v>
      </c>
      <c r="V34" s="402">
        <f t="shared" si="2"/>
        <v>0</v>
      </c>
      <c r="W34" s="222">
        <f>U34*1.79</f>
        <v>0</v>
      </c>
      <c r="X34" s="262">
        <f t="shared" si="5"/>
        <v>0</v>
      </c>
    </row>
    <row r="35" ht="129.75" customHeight="1">
      <c r="B35" s="150" t="s">
        <v>254</v>
      </c>
      <c r="C35" s="151"/>
      <c r="D35" s="117">
        <v>5.0</v>
      </c>
      <c r="E35" s="117" t="s">
        <v>400</v>
      </c>
      <c r="F35" s="46">
        <v>120.0</v>
      </c>
      <c r="G35" s="208"/>
      <c r="H35" s="209"/>
      <c r="I35" s="236"/>
      <c r="J35" s="224"/>
      <c r="K35" s="237"/>
      <c r="L35" s="213"/>
      <c r="M35" s="214"/>
      <c r="N35" s="215"/>
      <c r="O35" s="216"/>
      <c r="P35" s="217"/>
      <c r="Q35" s="218"/>
      <c r="R35" s="219"/>
      <c r="S35" s="220"/>
      <c r="T35" s="221"/>
      <c r="U35" s="402">
        <f t="shared" si="1"/>
        <v>0</v>
      </c>
      <c r="V35" s="402">
        <f t="shared" si="2"/>
        <v>0</v>
      </c>
      <c r="W35" s="222">
        <f>U35*2.27</f>
        <v>0</v>
      </c>
      <c r="X35" s="262">
        <f t="shared" si="5"/>
        <v>0</v>
      </c>
    </row>
    <row r="36" ht="129.75" customHeight="1">
      <c r="B36" s="404" t="s">
        <v>401</v>
      </c>
      <c r="C36" s="405"/>
      <c r="D36" s="406">
        <v>5.0</v>
      </c>
      <c r="E36" s="406" t="s">
        <v>402</v>
      </c>
      <c r="F36" s="46">
        <v>157.0</v>
      </c>
      <c r="G36" s="368"/>
      <c r="H36" s="369"/>
      <c r="I36" s="370"/>
      <c r="J36" s="371"/>
      <c r="K36" s="372"/>
      <c r="L36" s="373"/>
      <c r="M36" s="374"/>
      <c r="N36" s="375"/>
      <c r="O36" s="376"/>
      <c r="P36" s="377"/>
      <c r="Q36" s="378"/>
      <c r="R36" s="379"/>
      <c r="S36" s="380"/>
      <c r="T36" s="381"/>
      <c r="U36" s="402">
        <f t="shared" si="1"/>
        <v>0</v>
      </c>
      <c r="V36" s="402">
        <f t="shared" si="2"/>
        <v>0</v>
      </c>
      <c r="W36" s="382">
        <f>U36*3.11</f>
        <v>0</v>
      </c>
      <c r="X36" s="383">
        <f t="shared" ref="X36:X37" si="6">+F36*U36</f>
        <v>0</v>
      </c>
    </row>
    <row r="37" ht="129.75" customHeight="1">
      <c r="B37" s="120" t="s">
        <v>258</v>
      </c>
      <c r="C37" s="118"/>
      <c r="D37" s="117">
        <v>5.0</v>
      </c>
      <c r="E37" s="117" t="s">
        <v>403</v>
      </c>
      <c r="F37" s="46">
        <v>175.0</v>
      </c>
      <c r="G37" s="368"/>
      <c r="H37" s="369"/>
      <c r="I37" s="370"/>
      <c r="J37" s="371"/>
      <c r="K37" s="372"/>
      <c r="L37" s="373"/>
      <c r="M37" s="374"/>
      <c r="N37" s="375"/>
      <c r="O37" s="376"/>
      <c r="P37" s="377"/>
      <c r="Q37" s="378"/>
      <c r="R37" s="379"/>
      <c r="S37" s="380"/>
      <c r="T37" s="381"/>
      <c r="U37" s="402">
        <f t="shared" si="1"/>
        <v>0</v>
      </c>
      <c r="V37" s="402">
        <f t="shared" si="2"/>
        <v>0</v>
      </c>
      <c r="W37" s="382">
        <f>U37*3.52</f>
        <v>0</v>
      </c>
      <c r="X37" s="383">
        <f t="shared" si="6"/>
        <v>0</v>
      </c>
    </row>
    <row r="38" ht="15.75" customHeight="1">
      <c r="B38" s="5"/>
      <c r="C38" s="5"/>
      <c r="D38" s="5"/>
      <c r="E38" s="5"/>
      <c r="F38" s="6"/>
      <c r="G38" s="385">
        <f t="shared" ref="G38:V38" si="7">SUM(G7:G37)</f>
        <v>0</v>
      </c>
      <c r="H38" s="385">
        <f t="shared" si="7"/>
        <v>0</v>
      </c>
      <c r="I38" s="385">
        <f t="shared" si="7"/>
        <v>0</v>
      </c>
      <c r="J38" s="385">
        <f t="shared" si="7"/>
        <v>0</v>
      </c>
      <c r="K38" s="385">
        <f t="shared" si="7"/>
        <v>0</v>
      </c>
      <c r="L38" s="385">
        <f t="shared" si="7"/>
        <v>0</v>
      </c>
      <c r="M38" s="385">
        <f t="shared" si="7"/>
        <v>0</v>
      </c>
      <c r="N38" s="385">
        <f t="shared" si="7"/>
        <v>0</v>
      </c>
      <c r="O38" s="385">
        <f t="shared" si="7"/>
        <v>0</v>
      </c>
      <c r="P38" s="385">
        <f t="shared" si="7"/>
        <v>0</v>
      </c>
      <c r="Q38" s="385">
        <f t="shared" si="7"/>
        <v>0</v>
      </c>
      <c r="R38" s="385">
        <f t="shared" si="7"/>
        <v>0</v>
      </c>
      <c r="S38" s="385">
        <f t="shared" si="7"/>
        <v>0</v>
      </c>
      <c r="T38" s="385">
        <f t="shared" si="7"/>
        <v>0</v>
      </c>
      <c r="U38" s="385">
        <f t="shared" si="7"/>
        <v>0</v>
      </c>
      <c r="V38" s="385">
        <f t="shared" si="7"/>
        <v>0</v>
      </c>
      <c r="W38" s="385">
        <f>SUM(W7:W36)</f>
        <v>0</v>
      </c>
      <c r="X38" s="386">
        <f>SUM(X7:X37)</f>
        <v>0</v>
      </c>
    </row>
    <row r="39" ht="15.75" customHeight="1">
      <c r="F39" s="1"/>
    </row>
    <row r="40" ht="15.75" customHeight="1">
      <c r="F40" s="1"/>
    </row>
    <row r="41" ht="15.75" customHeight="1">
      <c r="F41" s="1"/>
    </row>
    <row r="42" ht="15.75" customHeight="1">
      <c r="F42" s="1"/>
    </row>
    <row r="43" ht="15.75" customHeight="1">
      <c r="F43" s="1"/>
    </row>
    <row r="44" ht="15.75" customHeight="1">
      <c r="F44" s="1"/>
    </row>
    <row r="45" ht="15.75" customHeight="1">
      <c r="F45" s="1"/>
    </row>
    <row r="46" ht="15.75" customHeight="1">
      <c r="F46" s="1"/>
    </row>
    <row r="47" ht="15.75" customHeight="1">
      <c r="F47" s="1"/>
    </row>
    <row r="48" ht="15.75" customHeight="1">
      <c r="F48" s="1"/>
    </row>
    <row r="49" ht="15.75" customHeight="1">
      <c r="F49" s="1"/>
    </row>
    <row r="50" ht="15.75" customHeight="1">
      <c r="F50" s="1"/>
    </row>
    <row r="51" ht="15.75" customHeight="1">
      <c r="F51" s="1"/>
    </row>
    <row r="52" ht="15.75" customHeight="1">
      <c r="F52" s="1"/>
    </row>
    <row r="53" ht="15.75" customHeight="1">
      <c r="F53" s="1"/>
    </row>
    <row r="54" ht="15.75" customHeight="1">
      <c r="F54" s="1"/>
    </row>
    <row r="55" ht="15.75" customHeight="1">
      <c r="F55" s="1"/>
    </row>
    <row r="56" ht="15.75" customHeight="1">
      <c r="F56" s="1"/>
    </row>
    <row r="57" ht="15.75" customHeight="1">
      <c r="F57" s="1"/>
    </row>
    <row r="58" ht="15.75" customHeight="1">
      <c r="F58" s="1"/>
    </row>
    <row r="59" ht="15.75" customHeight="1">
      <c r="F59" s="1"/>
    </row>
    <row r="60" ht="15.75" customHeight="1">
      <c r="F60" s="1"/>
    </row>
    <row r="61" ht="15.75" customHeight="1">
      <c r="F61" s="1"/>
    </row>
    <row r="62" ht="15.75" customHeight="1">
      <c r="F62" s="1"/>
    </row>
    <row r="63" ht="15.75" customHeight="1">
      <c r="F63" s="1"/>
    </row>
    <row r="64" ht="15.75" customHeight="1">
      <c r="F64" s="1"/>
    </row>
    <row r="65" ht="15.75" customHeight="1">
      <c r="F65" s="1"/>
    </row>
    <row r="66" ht="15.75" customHeight="1">
      <c r="F66" s="1"/>
    </row>
    <row r="67" ht="15.75" customHeight="1">
      <c r="F67" s="1"/>
    </row>
    <row r="68" ht="15.75" customHeight="1">
      <c r="F68" s="1"/>
    </row>
    <row r="69" ht="15.75" customHeight="1">
      <c r="F69" s="1"/>
    </row>
    <row r="70" ht="15.75" customHeight="1">
      <c r="F70" s="1"/>
    </row>
    <row r="71" ht="15.75" customHeight="1">
      <c r="F71" s="1"/>
    </row>
    <row r="72" ht="15.75" customHeight="1">
      <c r="F72" s="1"/>
    </row>
    <row r="73" ht="15.75" customHeight="1">
      <c r="F73" s="1"/>
    </row>
    <row r="74" ht="15.75" customHeight="1">
      <c r="F74" s="1"/>
    </row>
    <row r="75" ht="15.75" customHeight="1">
      <c r="F75" s="1"/>
    </row>
    <row r="76" ht="15.75" customHeight="1">
      <c r="F76" s="1"/>
    </row>
    <row r="77" ht="15.75" customHeight="1">
      <c r="F77" s="1"/>
    </row>
    <row r="78" ht="15.75" customHeight="1">
      <c r="F78" s="1"/>
    </row>
    <row r="79" ht="15.75" customHeight="1">
      <c r="F79" s="1"/>
    </row>
    <row r="80" ht="15.75" customHeight="1">
      <c r="F80" s="1"/>
    </row>
    <row r="81" ht="15.75" customHeight="1">
      <c r="F81" s="1"/>
    </row>
    <row r="82" ht="15.75" customHeight="1">
      <c r="F82" s="1"/>
    </row>
    <row r="83" ht="15.75" customHeight="1">
      <c r="F83" s="1"/>
    </row>
    <row r="84" ht="15.75" customHeight="1">
      <c r="F84" s="1"/>
    </row>
    <row r="85" ht="15.75" customHeight="1">
      <c r="F85" s="1"/>
    </row>
    <row r="86" ht="15.75" customHeight="1">
      <c r="F86" s="1"/>
    </row>
    <row r="87" ht="15.75" customHeight="1">
      <c r="F87" s="1"/>
    </row>
    <row r="88" ht="15.75" customHeight="1">
      <c r="F88" s="1"/>
    </row>
    <row r="89" ht="15.75" customHeight="1">
      <c r="F89" s="1"/>
    </row>
    <row r="90" ht="15.75" customHeight="1">
      <c r="F90" s="1"/>
    </row>
    <row r="91" ht="15.75" customHeight="1">
      <c r="F91" s="1"/>
    </row>
    <row r="92" ht="15.75" customHeight="1">
      <c r="F92" s="1"/>
    </row>
    <row r="93" ht="15.75" customHeight="1">
      <c r="F93" s="1"/>
    </row>
    <row r="94" ht="15.75" customHeight="1">
      <c r="F94" s="1"/>
    </row>
    <row r="95" ht="15.75" customHeight="1">
      <c r="F95" s="1"/>
    </row>
    <row r="96" ht="15.75" customHeight="1">
      <c r="F96" s="1"/>
    </row>
    <row r="97" ht="15.75" customHeight="1">
      <c r="F97" s="1"/>
    </row>
    <row r="98" ht="15.75" customHeight="1">
      <c r="F98" s="1"/>
    </row>
    <row r="99" ht="15.75" customHeight="1">
      <c r="F99" s="1"/>
    </row>
    <row r="100" ht="15.75" customHeight="1">
      <c r="F100" s="1"/>
    </row>
    <row r="101" ht="15.75" customHeight="1">
      <c r="F101" s="1"/>
    </row>
    <row r="102" ht="15.75" customHeight="1">
      <c r="F102" s="1"/>
    </row>
    <row r="103" ht="15.75" customHeight="1">
      <c r="F103" s="1"/>
    </row>
    <row r="104" ht="15.75" customHeight="1">
      <c r="F104" s="1"/>
    </row>
    <row r="105" ht="15.75" customHeight="1">
      <c r="F105" s="1"/>
    </row>
    <row r="106" ht="15.75" customHeight="1">
      <c r="F106" s="1"/>
    </row>
    <row r="107" ht="15.75" customHeight="1">
      <c r="F107" s="1"/>
    </row>
    <row r="108" ht="15.75" customHeight="1">
      <c r="F108" s="1"/>
    </row>
    <row r="109" ht="15.75" customHeight="1">
      <c r="F109" s="1"/>
    </row>
    <row r="110" ht="15.75" customHeight="1">
      <c r="F110" s="1"/>
    </row>
    <row r="111" ht="15.75" customHeight="1">
      <c r="F111" s="1"/>
    </row>
    <row r="112" ht="15.75" customHeight="1">
      <c r="F112" s="1"/>
    </row>
    <row r="113" ht="15.75" customHeight="1">
      <c r="F113" s="1"/>
    </row>
    <row r="114" ht="15.75" customHeight="1">
      <c r="F114" s="1"/>
    </row>
    <row r="115" ht="15.75" customHeight="1">
      <c r="F115" s="1"/>
    </row>
    <row r="116" ht="15.75" customHeight="1">
      <c r="F116" s="1"/>
    </row>
    <row r="117" ht="15.75" customHeight="1">
      <c r="F117" s="1"/>
    </row>
    <row r="118" ht="15.75" customHeight="1">
      <c r="F118" s="1"/>
    </row>
    <row r="119" ht="15.75" customHeight="1">
      <c r="F119" s="1"/>
    </row>
    <row r="120" ht="15.75" customHeight="1">
      <c r="F120" s="1"/>
    </row>
    <row r="121" ht="15.75" customHeight="1">
      <c r="F121" s="1"/>
    </row>
    <row r="122" ht="15.75" customHeight="1">
      <c r="F122" s="1"/>
    </row>
    <row r="123" ht="15.75" customHeight="1">
      <c r="F123" s="1"/>
    </row>
    <row r="124" ht="15.75" customHeight="1">
      <c r="F124" s="1"/>
    </row>
    <row r="125" ht="15.75" customHeight="1">
      <c r="F125" s="1"/>
    </row>
    <row r="126" ht="15.75" customHeight="1">
      <c r="F126" s="1"/>
    </row>
    <row r="127" ht="15.75" customHeight="1">
      <c r="F127" s="1"/>
    </row>
    <row r="128" ht="15.75" customHeight="1">
      <c r="F128" s="1"/>
    </row>
    <row r="129" ht="15.75" customHeight="1">
      <c r="F129" s="1"/>
    </row>
    <row r="130" ht="15.75" customHeight="1">
      <c r="F130" s="1"/>
    </row>
    <row r="131" ht="15.75" customHeight="1">
      <c r="F131" s="1"/>
    </row>
    <row r="132" ht="15.75" customHeight="1">
      <c r="F132" s="1"/>
    </row>
    <row r="133" ht="15.75" customHeight="1">
      <c r="F133" s="1"/>
    </row>
    <row r="134" ht="15.75" customHeight="1">
      <c r="F134" s="1"/>
    </row>
    <row r="135" ht="15.75" customHeight="1">
      <c r="F135" s="1"/>
    </row>
    <row r="136" ht="15.75" customHeight="1">
      <c r="F136" s="1"/>
    </row>
    <row r="137" ht="15.75" customHeight="1">
      <c r="F137" s="1"/>
    </row>
    <row r="138" ht="15.75" customHeight="1">
      <c r="F138" s="1"/>
    </row>
    <row r="139" ht="15.75" customHeight="1">
      <c r="F139" s="1"/>
    </row>
    <row r="140" ht="15.75" customHeight="1">
      <c r="F140" s="1"/>
    </row>
    <row r="141" ht="15.75" customHeight="1">
      <c r="F141" s="1"/>
    </row>
    <row r="142" ht="15.75" customHeight="1">
      <c r="F142" s="1"/>
    </row>
    <row r="143" ht="15.75" customHeight="1">
      <c r="F143" s="1"/>
    </row>
    <row r="144" ht="15.75" customHeight="1">
      <c r="F144" s="1"/>
    </row>
    <row r="145" ht="15.75" customHeight="1">
      <c r="F145" s="1"/>
    </row>
    <row r="146" ht="15.75" customHeight="1">
      <c r="F146" s="1"/>
    </row>
    <row r="147" ht="15.75" customHeight="1">
      <c r="F147" s="1"/>
    </row>
    <row r="148" ht="15.75" customHeight="1">
      <c r="F148" s="1"/>
    </row>
    <row r="149" ht="15.75" customHeight="1">
      <c r="F149" s="1"/>
    </row>
    <row r="150" ht="15.75" customHeight="1">
      <c r="F150" s="1"/>
    </row>
    <row r="151" ht="15.75" customHeight="1">
      <c r="F151" s="1"/>
    </row>
    <row r="152" ht="15.75" customHeight="1">
      <c r="F152" s="1"/>
    </row>
    <row r="153" ht="15.75" customHeight="1">
      <c r="F153" s="1"/>
    </row>
    <row r="154" ht="15.75" customHeight="1">
      <c r="F154" s="1"/>
    </row>
    <row r="155" ht="15.75" customHeight="1">
      <c r="F155" s="1"/>
    </row>
    <row r="156" ht="15.75" customHeight="1">
      <c r="F156" s="1"/>
    </row>
    <row r="157" ht="15.75" customHeight="1">
      <c r="F157" s="1"/>
    </row>
    <row r="158" ht="15.75" customHeight="1">
      <c r="F158" s="1"/>
    </row>
    <row r="159" ht="15.75" customHeight="1">
      <c r="F159" s="1"/>
    </row>
    <row r="160" ht="15.75" customHeight="1">
      <c r="F160" s="1"/>
    </row>
    <row r="161" ht="15.75" customHeight="1">
      <c r="F161" s="1"/>
    </row>
    <row r="162" ht="15.75" customHeight="1">
      <c r="F162" s="1"/>
    </row>
    <row r="163" ht="15.75" customHeight="1">
      <c r="F163" s="1"/>
    </row>
    <row r="164" ht="15.75" customHeight="1">
      <c r="F164" s="1"/>
    </row>
    <row r="165" ht="15.75" customHeight="1">
      <c r="F165" s="1"/>
    </row>
    <row r="166" ht="15.75" customHeight="1">
      <c r="F166" s="1"/>
    </row>
    <row r="167" ht="15.75" customHeight="1">
      <c r="F167" s="1"/>
    </row>
    <row r="168" ht="15.75" customHeight="1">
      <c r="F168" s="1"/>
    </row>
    <row r="169" ht="15.75" customHeight="1">
      <c r="F169" s="1"/>
    </row>
    <row r="170" ht="15.75" customHeight="1">
      <c r="F170" s="1"/>
    </row>
    <row r="171" ht="15.75" customHeight="1">
      <c r="F171" s="1"/>
    </row>
    <row r="172" ht="15.75" customHeight="1">
      <c r="F172" s="1"/>
    </row>
    <row r="173" ht="15.75" customHeight="1">
      <c r="F173" s="1"/>
    </row>
    <row r="174" ht="15.75" customHeight="1">
      <c r="F174" s="1"/>
    </row>
    <row r="175" ht="15.75" customHeight="1">
      <c r="F175" s="1"/>
    </row>
    <row r="176" ht="15.75" customHeight="1">
      <c r="F176" s="1"/>
    </row>
    <row r="177" ht="15.75" customHeight="1">
      <c r="F177" s="1"/>
    </row>
    <row r="178" ht="15.75" customHeight="1">
      <c r="F178" s="1"/>
    </row>
    <row r="179" ht="15.75" customHeight="1">
      <c r="F179" s="1"/>
    </row>
    <row r="180" ht="15.75" customHeight="1">
      <c r="F180" s="1"/>
    </row>
    <row r="181" ht="15.75" customHeight="1">
      <c r="F181" s="1"/>
    </row>
    <row r="182" ht="15.75" customHeight="1">
      <c r="F182" s="1"/>
    </row>
    <row r="183" ht="15.75" customHeight="1">
      <c r="F183" s="1"/>
    </row>
    <row r="184" ht="15.75" customHeight="1">
      <c r="F184" s="1"/>
    </row>
    <row r="185" ht="15.75" customHeight="1">
      <c r="F185" s="1"/>
    </row>
    <row r="186" ht="15.75" customHeight="1">
      <c r="F186" s="1"/>
    </row>
    <row r="187" ht="15.75" customHeight="1">
      <c r="F187" s="1"/>
    </row>
    <row r="188" ht="15.75" customHeight="1">
      <c r="F188" s="1"/>
    </row>
    <row r="189" ht="15.75" customHeight="1">
      <c r="F189" s="1"/>
    </row>
    <row r="190" ht="15.75" customHeight="1">
      <c r="F190" s="1"/>
    </row>
    <row r="191" ht="15.75" customHeight="1">
      <c r="F191" s="1"/>
    </row>
    <row r="192" ht="15.75" customHeight="1">
      <c r="F192" s="1"/>
    </row>
    <row r="193" ht="15.75" customHeight="1">
      <c r="F193" s="1"/>
    </row>
    <row r="194" ht="15.75" customHeight="1">
      <c r="F194" s="1"/>
    </row>
    <row r="195" ht="15.75" customHeight="1">
      <c r="F195" s="1"/>
    </row>
    <row r="196" ht="15.75" customHeight="1">
      <c r="F196" s="1"/>
    </row>
    <row r="197" ht="15.75" customHeight="1">
      <c r="F197" s="1"/>
    </row>
    <row r="198" ht="15.75" customHeight="1">
      <c r="F198" s="1"/>
    </row>
    <row r="199" ht="15.75" customHeight="1">
      <c r="F199" s="1"/>
    </row>
    <row r="200" ht="15.75" customHeight="1">
      <c r="F200" s="1"/>
    </row>
    <row r="201" ht="15.75" customHeight="1">
      <c r="F201" s="1"/>
    </row>
    <row r="202" ht="15.75" customHeight="1">
      <c r="F202" s="1"/>
    </row>
    <row r="203" ht="15.75" customHeight="1">
      <c r="F203" s="1"/>
    </row>
    <row r="204" ht="15.75" customHeight="1">
      <c r="F204" s="1"/>
    </row>
    <row r="205" ht="15.75" customHeight="1">
      <c r="F205" s="1"/>
    </row>
    <row r="206" ht="15.75" customHeight="1">
      <c r="F206" s="1"/>
    </row>
    <row r="207" ht="15.75" customHeight="1">
      <c r="F207" s="1"/>
    </row>
    <row r="208" ht="15.75" customHeight="1">
      <c r="F208" s="1"/>
    </row>
    <row r="209" ht="15.75" customHeight="1">
      <c r="F209" s="1"/>
    </row>
    <row r="210" ht="15.75" customHeight="1">
      <c r="F210" s="1"/>
    </row>
    <row r="211" ht="15.75" customHeight="1">
      <c r="F211" s="1"/>
    </row>
    <row r="212" ht="15.75" customHeight="1">
      <c r="F212" s="1"/>
    </row>
    <row r="213" ht="15.75" customHeight="1">
      <c r="F213" s="1"/>
    </row>
    <row r="214" ht="15.75" customHeight="1">
      <c r="F214" s="1"/>
    </row>
    <row r="215" ht="15.75" customHeight="1">
      <c r="F215" s="1"/>
    </row>
    <row r="216" ht="15.75" customHeight="1">
      <c r="F216" s="1"/>
    </row>
    <row r="217" ht="15.75" customHeight="1">
      <c r="F217" s="1"/>
    </row>
    <row r="218" ht="15.75" customHeight="1">
      <c r="F218" s="1"/>
    </row>
    <row r="219" ht="15.75" customHeight="1">
      <c r="F219" s="1"/>
    </row>
    <row r="220" ht="15.75" customHeight="1">
      <c r="F220" s="1"/>
    </row>
    <row r="221" ht="15.75" customHeight="1">
      <c r="F221" s="1"/>
    </row>
    <row r="222" ht="15.75" customHeight="1">
      <c r="F222" s="1"/>
    </row>
    <row r="223" ht="15.75" customHeight="1">
      <c r="F223" s="1"/>
    </row>
    <row r="224" ht="15.75" customHeight="1">
      <c r="F224" s="1"/>
    </row>
    <row r="225" ht="15.75" customHeight="1">
      <c r="F225" s="1"/>
    </row>
    <row r="226" ht="15.75" customHeight="1">
      <c r="F226" s="1"/>
    </row>
    <row r="227" ht="15.75" customHeight="1">
      <c r="F227" s="1"/>
    </row>
    <row r="228" ht="15.75" customHeight="1">
      <c r="F228" s="1"/>
    </row>
    <row r="229" ht="15.75" customHeight="1">
      <c r="F229" s="1"/>
    </row>
    <row r="230" ht="15.75" customHeight="1">
      <c r="F230" s="1"/>
    </row>
    <row r="231" ht="15.75" customHeight="1">
      <c r="F231" s="1"/>
    </row>
    <row r="232" ht="15.75" customHeight="1">
      <c r="F232" s="1"/>
    </row>
    <row r="233" ht="15.75" customHeight="1">
      <c r="F233" s="1"/>
    </row>
    <row r="234" ht="15.75" customHeight="1">
      <c r="F234" s="1"/>
    </row>
    <row r="235" ht="15.75" customHeight="1">
      <c r="F235" s="1"/>
    </row>
    <row r="236" ht="15.75" customHeight="1">
      <c r="F236" s="1"/>
    </row>
    <row r="237" ht="15.75" customHeight="1">
      <c r="F237" s="1"/>
    </row>
    <row r="238" ht="15.75" customHeight="1">
      <c r="F238" s="1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3.86"/>
    <col customWidth="1" min="2" max="2" width="14.29"/>
    <col customWidth="1" min="3" max="3" width="19.0"/>
    <col customWidth="1" min="4" max="4" width="9.0"/>
    <col customWidth="1" min="5" max="5" width="7.43"/>
    <col customWidth="1" min="6" max="6" width="8.43"/>
    <col customWidth="1" min="7" max="20" width="9.14"/>
    <col customWidth="1" min="21" max="21" width="5.14"/>
    <col customWidth="1" min="22" max="22" width="7.0"/>
    <col customWidth="1" min="23" max="23" width="8.14"/>
    <col customWidth="1" min="24" max="24" width="11.86"/>
  </cols>
  <sheetData>
    <row r="1">
      <c r="F1" s="1"/>
    </row>
    <row r="2">
      <c r="B2" s="407" t="s">
        <v>404</v>
      </c>
    </row>
    <row r="3" ht="13.5" customHeight="1"/>
    <row r="4" ht="30.75" customHeight="1">
      <c r="B4" s="408"/>
      <c r="C4" s="408"/>
      <c r="D4" s="409"/>
      <c r="E4" s="409"/>
      <c r="F4" s="410"/>
      <c r="G4" s="411" t="s">
        <v>27</v>
      </c>
      <c r="H4" s="315" t="s">
        <v>2</v>
      </c>
      <c r="I4" s="316" t="s">
        <v>3</v>
      </c>
      <c r="J4" s="317" t="s">
        <v>4</v>
      </c>
      <c r="K4" s="318" t="s">
        <v>5</v>
      </c>
      <c r="L4" s="319" t="s">
        <v>6</v>
      </c>
      <c r="M4" s="320" t="s">
        <v>7</v>
      </c>
      <c r="N4" s="321" t="s">
        <v>8</v>
      </c>
      <c r="O4" s="322" t="s">
        <v>9</v>
      </c>
      <c r="P4" s="323" t="s">
        <v>10</v>
      </c>
      <c r="Q4" s="324" t="s">
        <v>11</v>
      </c>
      <c r="R4" s="325" t="s">
        <v>12</v>
      </c>
      <c r="S4" s="326" t="s">
        <v>13</v>
      </c>
      <c r="T4" s="327" t="s">
        <v>14</v>
      </c>
      <c r="U4" s="5"/>
      <c r="V4" s="5"/>
      <c r="W4" s="5"/>
      <c r="X4" s="5"/>
    </row>
    <row r="5" ht="14.25" customHeight="1">
      <c r="B5" s="188" t="s">
        <v>15</v>
      </c>
      <c r="C5" s="189"/>
      <c r="D5" s="190" t="s">
        <v>17</v>
      </c>
      <c r="E5" s="190" t="s">
        <v>18</v>
      </c>
      <c r="F5" s="191" t="s">
        <v>19</v>
      </c>
      <c r="G5" s="328">
        <v>2.0</v>
      </c>
      <c r="H5" s="329">
        <v>5.0</v>
      </c>
      <c r="I5" s="330">
        <v>7.0</v>
      </c>
      <c r="J5" s="331">
        <v>10.0</v>
      </c>
      <c r="K5" s="332">
        <v>11.0</v>
      </c>
      <c r="L5" s="333">
        <v>12.0</v>
      </c>
      <c r="M5" s="334">
        <v>13.0</v>
      </c>
      <c r="N5" s="335">
        <v>16.0</v>
      </c>
      <c r="O5" s="336">
        <v>27.0</v>
      </c>
      <c r="P5" s="337">
        <v>69.0</v>
      </c>
      <c r="Q5" s="338">
        <v>76.0</v>
      </c>
      <c r="R5" s="339">
        <v>77.0</v>
      </c>
      <c r="S5" s="108">
        <v>79.0</v>
      </c>
      <c r="T5" s="340">
        <v>81.0</v>
      </c>
      <c r="U5" s="122" t="s">
        <v>20</v>
      </c>
      <c r="V5" s="122" t="s">
        <v>21</v>
      </c>
      <c r="W5" s="122" t="s">
        <v>22</v>
      </c>
      <c r="X5" s="122" t="s">
        <v>91</v>
      </c>
    </row>
    <row r="6">
      <c r="B6" s="5"/>
      <c r="C6" s="5"/>
      <c r="D6" s="412" t="s">
        <v>405</v>
      </c>
      <c r="E6" s="413"/>
      <c r="F6" s="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07"/>
      <c r="U6" s="5"/>
      <c r="V6" s="5"/>
      <c r="W6" s="5"/>
      <c r="X6" s="5"/>
    </row>
    <row r="7" ht="99.75" customHeight="1">
      <c r="B7" s="414" t="s">
        <v>406</v>
      </c>
      <c r="C7" s="415"/>
      <c r="D7" s="401">
        <v>10.0</v>
      </c>
      <c r="E7" s="401" t="s">
        <v>407</v>
      </c>
      <c r="F7" s="46">
        <v>121.0</v>
      </c>
      <c r="G7" s="416"/>
      <c r="H7" s="417"/>
      <c r="I7" s="418"/>
      <c r="J7" s="419"/>
      <c r="K7" s="420"/>
      <c r="L7" s="421"/>
      <c r="M7" s="422"/>
      <c r="N7" s="423"/>
      <c r="O7" s="424"/>
      <c r="P7" s="425"/>
      <c r="Q7" s="426"/>
      <c r="R7" s="427"/>
      <c r="S7" s="402"/>
      <c r="T7" s="428"/>
      <c r="U7" s="402">
        <f t="shared" ref="U7:U18" si="1">SUM(G7:T7)</f>
        <v>0</v>
      </c>
      <c r="V7" s="402">
        <f t="shared" ref="V7:V18" si="2">D7*U7</f>
        <v>0</v>
      </c>
      <c r="W7" s="402">
        <f>U7*1.98</f>
        <v>0</v>
      </c>
      <c r="X7" s="403">
        <f t="shared" ref="X7:X11" si="3">F7*U7</f>
        <v>0</v>
      </c>
    </row>
    <row r="8" ht="99.75" customHeight="1">
      <c r="B8" s="261" t="s">
        <v>408</v>
      </c>
      <c r="C8" s="366"/>
      <c r="D8" s="117">
        <v>10.0</v>
      </c>
      <c r="E8" s="117" t="s">
        <v>409</v>
      </c>
      <c r="F8" s="46">
        <v>158.0</v>
      </c>
      <c r="G8" s="429"/>
      <c r="H8" s="430"/>
      <c r="I8" s="431"/>
      <c r="J8" s="432"/>
      <c r="K8" s="433"/>
      <c r="L8" s="434"/>
      <c r="M8" s="435"/>
      <c r="N8" s="436"/>
      <c r="O8" s="437"/>
      <c r="P8" s="438"/>
      <c r="Q8" s="439"/>
      <c r="R8" s="440"/>
      <c r="S8" s="222"/>
      <c r="T8" s="441"/>
      <c r="U8" s="222">
        <f t="shared" si="1"/>
        <v>0</v>
      </c>
      <c r="V8" s="222">
        <f t="shared" si="2"/>
        <v>0</v>
      </c>
      <c r="W8" s="222">
        <f>U8*2.82</f>
        <v>0</v>
      </c>
      <c r="X8" s="262">
        <f t="shared" si="3"/>
        <v>0</v>
      </c>
    </row>
    <row r="9" ht="99.75" customHeight="1">
      <c r="B9" s="261" t="s">
        <v>410</v>
      </c>
      <c r="C9" s="366"/>
      <c r="D9" s="117">
        <v>10.0</v>
      </c>
      <c r="E9" s="117" t="s">
        <v>411</v>
      </c>
      <c r="F9" s="46">
        <v>273.0</v>
      </c>
      <c r="G9" s="429"/>
      <c r="H9" s="430"/>
      <c r="I9" s="431"/>
      <c r="J9" s="432"/>
      <c r="K9" s="433"/>
      <c r="L9" s="434"/>
      <c r="M9" s="435"/>
      <c r="N9" s="436"/>
      <c r="O9" s="437"/>
      <c r="P9" s="438"/>
      <c r="Q9" s="439"/>
      <c r="R9" s="440"/>
      <c r="S9" s="222"/>
      <c r="T9" s="441"/>
      <c r="U9" s="222">
        <f t="shared" si="1"/>
        <v>0</v>
      </c>
      <c r="V9" s="222">
        <f t="shared" si="2"/>
        <v>0</v>
      </c>
      <c r="W9" s="222">
        <f>U9*5.41</f>
        <v>0</v>
      </c>
      <c r="X9" s="262">
        <f t="shared" si="3"/>
        <v>0</v>
      </c>
    </row>
    <row r="10" ht="99.75" customHeight="1">
      <c r="B10" s="261" t="s">
        <v>412</v>
      </c>
      <c r="C10" s="366"/>
      <c r="D10" s="117">
        <v>5.0</v>
      </c>
      <c r="E10" s="117" t="s">
        <v>413</v>
      </c>
      <c r="F10" s="46">
        <v>171.0</v>
      </c>
      <c r="G10" s="429"/>
      <c r="H10" s="430"/>
      <c r="I10" s="431"/>
      <c r="J10" s="432"/>
      <c r="K10" s="433"/>
      <c r="L10" s="434"/>
      <c r="M10" s="435"/>
      <c r="N10" s="436"/>
      <c r="O10" s="437"/>
      <c r="P10" s="438"/>
      <c r="Q10" s="439"/>
      <c r="R10" s="440"/>
      <c r="S10" s="222"/>
      <c r="T10" s="441"/>
      <c r="U10" s="222">
        <f t="shared" si="1"/>
        <v>0</v>
      </c>
      <c r="V10" s="222">
        <f t="shared" si="2"/>
        <v>0</v>
      </c>
      <c r="W10" s="222">
        <f>U10*2.1</f>
        <v>0</v>
      </c>
      <c r="X10" s="262">
        <f t="shared" si="3"/>
        <v>0</v>
      </c>
    </row>
    <row r="11" ht="99.75" customHeight="1">
      <c r="B11" s="261" t="s">
        <v>414</v>
      </c>
      <c r="C11" s="366"/>
      <c r="D11" s="117">
        <v>10.0</v>
      </c>
      <c r="E11" s="117" t="s">
        <v>415</v>
      </c>
      <c r="F11" s="46">
        <v>404.0</v>
      </c>
      <c r="G11" s="429"/>
      <c r="H11" s="430"/>
      <c r="I11" s="431"/>
      <c r="J11" s="432"/>
      <c r="K11" s="433"/>
      <c r="L11" s="434"/>
      <c r="M11" s="435"/>
      <c r="N11" s="436"/>
      <c r="O11" s="437"/>
      <c r="P11" s="438"/>
      <c r="Q11" s="439"/>
      <c r="R11" s="440"/>
      <c r="S11" s="222"/>
      <c r="T11" s="441"/>
      <c r="U11" s="222">
        <f t="shared" si="1"/>
        <v>0</v>
      </c>
      <c r="V11" s="222">
        <f t="shared" si="2"/>
        <v>0</v>
      </c>
      <c r="W11" s="222">
        <f>U11*5.48</f>
        <v>0</v>
      </c>
      <c r="X11" s="262">
        <f t="shared" si="3"/>
        <v>0</v>
      </c>
    </row>
    <row r="12" ht="99.75" customHeight="1">
      <c r="B12" s="261" t="s">
        <v>416</v>
      </c>
      <c r="C12" s="366"/>
      <c r="D12" s="117">
        <v>3.0</v>
      </c>
      <c r="E12" s="117" t="s">
        <v>417</v>
      </c>
      <c r="F12" s="46">
        <v>135.0</v>
      </c>
      <c r="G12" s="429"/>
      <c r="H12" s="430"/>
      <c r="I12" s="431"/>
      <c r="J12" s="432"/>
      <c r="K12" s="433"/>
      <c r="L12" s="434"/>
      <c r="M12" s="435"/>
      <c r="N12" s="436"/>
      <c r="O12" s="437"/>
      <c r="P12" s="438"/>
      <c r="Q12" s="439"/>
      <c r="R12" s="440"/>
      <c r="S12" s="222"/>
      <c r="T12" s="441"/>
      <c r="U12" s="222">
        <f t="shared" si="1"/>
        <v>0</v>
      </c>
      <c r="V12" s="222">
        <f t="shared" si="2"/>
        <v>0</v>
      </c>
      <c r="W12" s="222">
        <f>U12*1.83</f>
        <v>0</v>
      </c>
      <c r="X12" s="262">
        <f t="shared" ref="X12:X15" si="4">U12*F12</f>
        <v>0</v>
      </c>
    </row>
    <row r="13" ht="99.75" customHeight="1">
      <c r="B13" s="261" t="s">
        <v>418</v>
      </c>
      <c r="C13" s="366"/>
      <c r="D13" s="117">
        <v>5.0</v>
      </c>
      <c r="E13" s="117" t="s">
        <v>419</v>
      </c>
      <c r="F13" s="46">
        <v>325.0</v>
      </c>
      <c r="G13" s="429"/>
      <c r="H13" s="430"/>
      <c r="I13" s="431"/>
      <c r="J13" s="432"/>
      <c r="K13" s="433"/>
      <c r="L13" s="434"/>
      <c r="M13" s="435"/>
      <c r="N13" s="436"/>
      <c r="O13" s="437"/>
      <c r="P13" s="438"/>
      <c r="Q13" s="439"/>
      <c r="R13" s="440"/>
      <c r="S13" s="222"/>
      <c r="T13" s="441"/>
      <c r="U13" s="222">
        <f t="shared" si="1"/>
        <v>0</v>
      </c>
      <c r="V13" s="222">
        <f t="shared" si="2"/>
        <v>0</v>
      </c>
      <c r="W13" s="222">
        <f>U13*5.1</f>
        <v>0</v>
      </c>
      <c r="X13" s="262">
        <f t="shared" si="4"/>
        <v>0</v>
      </c>
    </row>
    <row r="14" ht="99.75" customHeight="1">
      <c r="B14" s="261" t="s">
        <v>102</v>
      </c>
      <c r="C14" s="366"/>
      <c r="D14" s="117">
        <v>3.0</v>
      </c>
      <c r="E14" s="117" t="s">
        <v>420</v>
      </c>
      <c r="F14" s="46">
        <v>173.0</v>
      </c>
      <c r="G14" s="429"/>
      <c r="H14" s="430"/>
      <c r="I14" s="431"/>
      <c r="J14" s="432"/>
      <c r="K14" s="433"/>
      <c r="L14" s="434"/>
      <c r="M14" s="435"/>
      <c r="N14" s="436"/>
      <c r="O14" s="437"/>
      <c r="P14" s="438"/>
      <c r="Q14" s="439"/>
      <c r="R14" s="440"/>
      <c r="S14" s="222"/>
      <c r="T14" s="441"/>
      <c r="U14" s="222">
        <f t="shared" si="1"/>
        <v>0</v>
      </c>
      <c r="V14" s="222">
        <f t="shared" si="2"/>
        <v>0</v>
      </c>
      <c r="W14" s="222">
        <f>U14*2.6</f>
        <v>0</v>
      </c>
      <c r="X14" s="262">
        <f t="shared" si="4"/>
        <v>0</v>
      </c>
    </row>
    <row r="15" ht="99.75" customHeight="1">
      <c r="B15" s="261" t="s">
        <v>104</v>
      </c>
      <c r="C15" s="366"/>
      <c r="D15" s="117">
        <v>3.0</v>
      </c>
      <c r="E15" s="117" t="s">
        <v>421</v>
      </c>
      <c r="F15" s="46">
        <v>221.0</v>
      </c>
      <c r="G15" s="429"/>
      <c r="H15" s="430"/>
      <c r="I15" s="431"/>
      <c r="J15" s="432"/>
      <c r="K15" s="433"/>
      <c r="L15" s="434"/>
      <c r="M15" s="435"/>
      <c r="N15" s="436"/>
      <c r="O15" s="437"/>
      <c r="P15" s="438"/>
      <c r="Q15" s="439"/>
      <c r="R15" s="440"/>
      <c r="S15" s="222"/>
      <c r="T15" s="441"/>
      <c r="U15" s="222">
        <f t="shared" si="1"/>
        <v>0</v>
      </c>
      <c r="V15" s="222">
        <f t="shared" si="2"/>
        <v>0</v>
      </c>
      <c r="W15" s="222">
        <f>U15*3.5</f>
        <v>0</v>
      </c>
      <c r="X15" s="262">
        <f t="shared" si="4"/>
        <v>0</v>
      </c>
    </row>
    <row r="16" ht="99.75" customHeight="1">
      <c r="B16" s="261" t="s">
        <v>422</v>
      </c>
      <c r="C16" s="366"/>
      <c r="D16" s="117">
        <v>1.0</v>
      </c>
      <c r="E16" s="117" t="s">
        <v>423</v>
      </c>
      <c r="F16" s="46">
        <v>191.0</v>
      </c>
      <c r="G16" s="429"/>
      <c r="H16" s="430"/>
      <c r="I16" s="431"/>
      <c r="J16" s="432"/>
      <c r="K16" s="433"/>
      <c r="L16" s="434"/>
      <c r="M16" s="435"/>
      <c r="N16" s="436"/>
      <c r="O16" s="437"/>
      <c r="P16" s="438"/>
      <c r="Q16" s="439"/>
      <c r="R16" s="440"/>
      <c r="S16" s="222"/>
      <c r="T16" s="441"/>
      <c r="U16" s="222">
        <f t="shared" si="1"/>
        <v>0</v>
      </c>
      <c r="V16" s="222">
        <f t="shared" si="2"/>
        <v>0</v>
      </c>
      <c r="W16" s="222">
        <f>U16*3.4</f>
        <v>0</v>
      </c>
      <c r="X16" s="262">
        <f t="shared" ref="X16:X18" si="5">F16*U16</f>
        <v>0</v>
      </c>
    </row>
    <row r="17" ht="99.75" customHeight="1">
      <c r="B17" s="261" t="s">
        <v>424</v>
      </c>
      <c r="C17" s="366"/>
      <c r="D17" s="117">
        <v>1.0</v>
      </c>
      <c r="E17" s="117" t="s">
        <v>425</v>
      </c>
      <c r="F17" s="46">
        <v>224.0</v>
      </c>
      <c r="G17" s="429"/>
      <c r="H17" s="430"/>
      <c r="I17" s="431"/>
      <c r="J17" s="432"/>
      <c r="K17" s="433"/>
      <c r="L17" s="434"/>
      <c r="M17" s="435"/>
      <c r="N17" s="436"/>
      <c r="O17" s="437"/>
      <c r="P17" s="438"/>
      <c r="Q17" s="439"/>
      <c r="R17" s="440"/>
      <c r="S17" s="222"/>
      <c r="T17" s="441"/>
      <c r="U17" s="222">
        <f t="shared" si="1"/>
        <v>0</v>
      </c>
      <c r="V17" s="222">
        <f t="shared" si="2"/>
        <v>0</v>
      </c>
      <c r="W17" s="222">
        <f>U17*4</f>
        <v>0</v>
      </c>
      <c r="X17" s="262">
        <f t="shared" si="5"/>
        <v>0</v>
      </c>
    </row>
    <row r="18" ht="99.75" customHeight="1">
      <c r="B18" s="367" t="s">
        <v>426</v>
      </c>
      <c r="C18" s="442"/>
      <c r="D18" s="19">
        <v>1.0</v>
      </c>
      <c r="E18" s="19" t="s">
        <v>427</v>
      </c>
      <c r="F18" s="46">
        <v>206.0</v>
      </c>
      <c r="G18" s="443"/>
      <c r="H18" s="444"/>
      <c r="I18" s="445"/>
      <c r="J18" s="446"/>
      <c r="K18" s="447"/>
      <c r="L18" s="448"/>
      <c r="M18" s="449"/>
      <c r="N18" s="450"/>
      <c r="O18" s="451"/>
      <c r="P18" s="452"/>
      <c r="Q18" s="453"/>
      <c r="R18" s="454"/>
      <c r="S18" s="455"/>
      <c r="T18" s="456"/>
      <c r="U18" s="455">
        <f t="shared" si="1"/>
        <v>0</v>
      </c>
      <c r="V18" s="455">
        <f t="shared" si="2"/>
        <v>0</v>
      </c>
      <c r="W18" s="455">
        <f>U18*3.7</f>
        <v>0</v>
      </c>
      <c r="X18" s="457">
        <f t="shared" si="5"/>
        <v>0</v>
      </c>
    </row>
    <row r="19">
      <c r="F19" s="458"/>
      <c r="G19" s="459">
        <f t="shared" ref="G19:X19" si="6">SUM(G7:G18)</f>
        <v>0</v>
      </c>
      <c r="H19" s="459">
        <f t="shared" si="6"/>
        <v>0</v>
      </c>
      <c r="I19" s="459">
        <f t="shared" si="6"/>
        <v>0</v>
      </c>
      <c r="J19" s="459">
        <f t="shared" si="6"/>
        <v>0</v>
      </c>
      <c r="K19" s="459">
        <f t="shared" si="6"/>
        <v>0</v>
      </c>
      <c r="L19" s="459">
        <f t="shared" si="6"/>
        <v>0</v>
      </c>
      <c r="M19" s="459">
        <f t="shared" si="6"/>
        <v>0</v>
      </c>
      <c r="N19" s="459">
        <f t="shared" si="6"/>
        <v>0</v>
      </c>
      <c r="O19" s="459">
        <f t="shared" si="6"/>
        <v>0</v>
      </c>
      <c r="P19" s="459">
        <f t="shared" si="6"/>
        <v>0</v>
      </c>
      <c r="Q19" s="459">
        <f t="shared" si="6"/>
        <v>0</v>
      </c>
      <c r="R19" s="459">
        <f t="shared" si="6"/>
        <v>0</v>
      </c>
      <c r="S19" s="459">
        <f t="shared" si="6"/>
        <v>0</v>
      </c>
      <c r="T19" s="459">
        <f t="shared" si="6"/>
        <v>0</v>
      </c>
      <c r="U19" s="459">
        <f t="shared" si="6"/>
        <v>0</v>
      </c>
      <c r="V19" s="459">
        <f t="shared" si="6"/>
        <v>0</v>
      </c>
      <c r="W19" s="459">
        <f t="shared" si="6"/>
        <v>0</v>
      </c>
      <c r="X19" s="460">
        <f t="shared" si="6"/>
        <v>0</v>
      </c>
    </row>
    <row r="20">
      <c r="F20" s="458"/>
      <c r="J20" s="461"/>
      <c r="X20" s="227"/>
    </row>
    <row r="21" ht="15.75" customHeight="1">
      <c r="B21" s="126"/>
      <c r="C21" s="126"/>
      <c r="D21" s="462" t="s">
        <v>428</v>
      </c>
      <c r="E21" s="4"/>
      <c r="F21" s="463"/>
      <c r="G21" s="5"/>
      <c r="H21" s="5"/>
      <c r="I21" s="5"/>
      <c r="J21" s="207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464"/>
    </row>
    <row r="22" ht="15.75" customHeight="1">
      <c r="B22" s="126"/>
      <c r="C22" s="126"/>
      <c r="D22" s="172"/>
      <c r="E22" s="126"/>
      <c r="F22" s="463"/>
      <c r="G22" s="5"/>
      <c r="H22" s="5"/>
      <c r="I22" s="5"/>
      <c r="J22" s="207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464"/>
    </row>
    <row r="23" ht="99.75" customHeight="1">
      <c r="B23" s="414" t="s">
        <v>137</v>
      </c>
      <c r="C23" s="401"/>
      <c r="D23" s="401">
        <v>10.0</v>
      </c>
      <c r="E23" s="401" t="s">
        <v>429</v>
      </c>
      <c r="F23" s="46">
        <v>70.0</v>
      </c>
      <c r="G23" s="416"/>
      <c r="H23" s="417"/>
      <c r="I23" s="418"/>
      <c r="J23" s="419"/>
      <c r="K23" s="420"/>
      <c r="L23" s="421"/>
      <c r="M23" s="422"/>
      <c r="N23" s="423"/>
      <c r="O23" s="424"/>
      <c r="P23" s="425"/>
      <c r="Q23" s="426"/>
      <c r="R23" s="427"/>
      <c r="S23" s="402"/>
      <c r="T23" s="428"/>
      <c r="U23" s="402">
        <f t="shared" ref="U23:U55" si="7">SUM(G23:T23)</f>
        <v>0</v>
      </c>
      <c r="V23" s="402">
        <f t="shared" ref="V23:V28" si="8">D23*U23</f>
        <v>0</v>
      </c>
      <c r="W23" s="402">
        <f>U23*0.83</f>
        <v>0</v>
      </c>
      <c r="X23" s="403">
        <f t="shared" ref="X23:X24" si="9">F23*U23</f>
        <v>0</v>
      </c>
    </row>
    <row r="24" ht="99.75" customHeight="1">
      <c r="B24" s="239" t="s">
        <v>430</v>
      </c>
      <c r="C24" s="241"/>
      <c r="D24" s="241">
        <v>10.0</v>
      </c>
      <c r="E24" s="241" t="s">
        <v>431</v>
      </c>
      <c r="F24" s="46">
        <v>99.0</v>
      </c>
      <c r="G24" s="465"/>
      <c r="H24" s="466"/>
      <c r="I24" s="467"/>
      <c r="J24" s="468"/>
      <c r="K24" s="469"/>
      <c r="L24" s="470"/>
      <c r="M24" s="471"/>
      <c r="N24" s="472"/>
      <c r="O24" s="473"/>
      <c r="P24" s="474"/>
      <c r="Q24" s="475"/>
      <c r="R24" s="476"/>
      <c r="S24" s="257"/>
      <c r="T24" s="477"/>
      <c r="U24" s="402">
        <f t="shared" si="7"/>
        <v>0</v>
      </c>
      <c r="V24" s="402">
        <f t="shared" si="8"/>
        <v>0</v>
      </c>
      <c r="W24" s="257">
        <f>U24*1.18</f>
        <v>0</v>
      </c>
      <c r="X24" s="403">
        <f t="shared" si="9"/>
        <v>0</v>
      </c>
    </row>
    <row r="25" ht="99.75" customHeight="1">
      <c r="B25" s="261" t="s">
        <v>139</v>
      </c>
      <c r="C25" s="117"/>
      <c r="D25" s="117">
        <v>10.0</v>
      </c>
      <c r="E25" s="117" t="s">
        <v>432</v>
      </c>
      <c r="F25" s="46">
        <v>51.0</v>
      </c>
      <c r="G25" s="429"/>
      <c r="H25" s="430"/>
      <c r="I25" s="431"/>
      <c r="J25" s="432"/>
      <c r="K25" s="433"/>
      <c r="L25" s="434"/>
      <c r="M25" s="435"/>
      <c r="N25" s="436"/>
      <c r="O25" s="437"/>
      <c r="P25" s="438"/>
      <c r="Q25" s="439"/>
      <c r="R25" s="440"/>
      <c r="S25" s="222"/>
      <c r="T25" s="441"/>
      <c r="U25" s="222">
        <f t="shared" si="7"/>
        <v>0</v>
      </c>
      <c r="V25" s="402">
        <f t="shared" si="8"/>
        <v>0</v>
      </c>
      <c r="W25" s="222">
        <f>U25*0.43</f>
        <v>0</v>
      </c>
      <c r="X25" s="262">
        <f t="shared" ref="X25:X55" si="10">U25*F25</f>
        <v>0</v>
      </c>
    </row>
    <row r="26" ht="99.75" customHeight="1">
      <c r="B26" s="261" t="s">
        <v>355</v>
      </c>
      <c r="C26" s="117"/>
      <c r="D26" s="117">
        <v>9.0</v>
      </c>
      <c r="E26" s="117" t="s">
        <v>433</v>
      </c>
      <c r="F26" s="46">
        <v>118.0</v>
      </c>
      <c r="G26" s="429"/>
      <c r="H26" s="430"/>
      <c r="I26" s="431"/>
      <c r="J26" s="432"/>
      <c r="K26" s="433"/>
      <c r="L26" s="434"/>
      <c r="M26" s="435"/>
      <c r="N26" s="436"/>
      <c r="O26" s="437"/>
      <c r="P26" s="438"/>
      <c r="Q26" s="439"/>
      <c r="R26" s="440"/>
      <c r="S26" s="222"/>
      <c r="T26" s="441"/>
      <c r="U26" s="222">
        <f t="shared" si="7"/>
        <v>0</v>
      </c>
      <c r="V26" s="222">
        <f t="shared" si="8"/>
        <v>0</v>
      </c>
      <c r="W26" s="222">
        <f>U26*2.02</f>
        <v>0</v>
      </c>
      <c r="X26" s="262">
        <f t="shared" si="10"/>
        <v>0</v>
      </c>
    </row>
    <row r="27" ht="99.75" customHeight="1">
      <c r="B27" s="150" t="s">
        <v>434</v>
      </c>
      <c r="C27" s="117"/>
      <c r="D27" s="117">
        <v>5.0</v>
      </c>
      <c r="E27" s="117" t="s">
        <v>435</v>
      </c>
      <c r="F27" s="46">
        <v>119.0</v>
      </c>
      <c r="G27" s="429"/>
      <c r="H27" s="430"/>
      <c r="I27" s="431"/>
      <c r="J27" s="432"/>
      <c r="K27" s="433"/>
      <c r="L27" s="434"/>
      <c r="M27" s="435"/>
      <c r="N27" s="436"/>
      <c r="O27" s="437"/>
      <c r="P27" s="438"/>
      <c r="Q27" s="439"/>
      <c r="R27" s="440"/>
      <c r="S27" s="222"/>
      <c r="T27" s="441"/>
      <c r="U27" s="222">
        <f t="shared" si="7"/>
        <v>0</v>
      </c>
      <c r="V27" s="222">
        <f t="shared" si="8"/>
        <v>0</v>
      </c>
      <c r="W27" s="222">
        <f>U27*2.29</f>
        <v>0</v>
      </c>
      <c r="X27" s="262">
        <f t="shared" si="10"/>
        <v>0</v>
      </c>
    </row>
    <row r="28" ht="99.75" customHeight="1">
      <c r="B28" s="261" t="s">
        <v>436</v>
      </c>
      <c r="C28" s="117"/>
      <c r="D28" s="117">
        <v>5.0</v>
      </c>
      <c r="E28" s="117" t="s">
        <v>437</v>
      </c>
      <c r="F28" s="46">
        <v>117.0</v>
      </c>
      <c r="G28" s="429"/>
      <c r="H28" s="430"/>
      <c r="I28" s="431"/>
      <c r="J28" s="432"/>
      <c r="K28" s="433"/>
      <c r="L28" s="434"/>
      <c r="M28" s="435"/>
      <c r="N28" s="436"/>
      <c r="O28" s="437"/>
      <c r="P28" s="438"/>
      <c r="Q28" s="439"/>
      <c r="R28" s="440"/>
      <c r="S28" s="222"/>
      <c r="T28" s="441"/>
      <c r="U28" s="222">
        <f t="shared" si="7"/>
        <v>0</v>
      </c>
      <c r="V28" s="222">
        <f t="shared" si="8"/>
        <v>0</v>
      </c>
      <c r="W28" s="222">
        <f>U28*2.2</f>
        <v>0</v>
      </c>
      <c r="X28" s="262">
        <f t="shared" si="10"/>
        <v>0</v>
      </c>
    </row>
    <row r="29" ht="99.75" customHeight="1">
      <c r="B29" s="261" t="s">
        <v>438</v>
      </c>
      <c r="C29" s="117"/>
      <c r="D29" s="117">
        <v>5.0</v>
      </c>
      <c r="E29" s="117" t="s">
        <v>439</v>
      </c>
      <c r="F29" s="46">
        <v>139.0</v>
      </c>
      <c r="G29" s="429"/>
      <c r="H29" s="430"/>
      <c r="I29" s="431"/>
      <c r="J29" s="432"/>
      <c r="K29" s="433"/>
      <c r="L29" s="434"/>
      <c r="M29" s="435"/>
      <c r="N29" s="436"/>
      <c r="O29" s="437"/>
      <c r="P29" s="438"/>
      <c r="Q29" s="439"/>
      <c r="R29" s="440"/>
      <c r="S29" s="222"/>
      <c r="T29" s="441"/>
      <c r="U29" s="222">
        <f t="shared" si="7"/>
        <v>0</v>
      </c>
      <c r="V29" s="222">
        <f>U29*D29</f>
        <v>0</v>
      </c>
      <c r="W29" s="222">
        <f>U29*1.5</f>
        <v>0</v>
      </c>
      <c r="X29" s="262">
        <f t="shared" si="10"/>
        <v>0</v>
      </c>
    </row>
    <row r="30" ht="99.75" customHeight="1">
      <c r="B30" s="150" t="s">
        <v>440</v>
      </c>
      <c r="C30" s="117"/>
      <c r="D30" s="117">
        <v>10.0</v>
      </c>
      <c r="E30" s="117" t="s">
        <v>441</v>
      </c>
      <c r="F30" s="46">
        <v>128.0</v>
      </c>
      <c r="G30" s="429"/>
      <c r="H30" s="430"/>
      <c r="I30" s="431"/>
      <c r="J30" s="432"/>
      <c r="K30" s="433"/>
      <c r="L30" s="434"/>
      <c r="M30" s="435"/>
      <c r="N30" s="436"/>
      <c r="O30" s="437"/>
      <c r="P30" s="438"/>
      <c r="Q30" s="439"/>
      <c r="R30" s="440"/>
      <c r="S30" s="222"/>
      <c r="T30" s="441"/>
      <c r="U30" s="222">
        <f t="shared" si="7"/>
        <v>0</v>
      </c>
      <c r="V30" s="222">
        <f>D30*U30</f>
        <v>0</v>
      </c>
      <c r="W30" s="222">
        <f>U30*2.14</f>
        <v>0</v>
      </c>
      <c r="X30" s="262">
        <f t="shared" si="10"/>
        <v>0</v>
      </c>
    </row>
    <row r="31" ht="99.75" customHeight="1">
      <c r="B31" s="150" t="s">
        <v>442</v>
      </c>
      <c r="C31" s="117"/>
      <c r="D31" s="117">
        <v>10.0</v>
      </c>
      <c r="E31" s="117" t="s">
        <v>443</v>
      </c>
      <c r="F31" s="46">
        <v>148.0</v>
      </c>
      <c r="G31" s="429"/>
      <c r="H31" s="430"/>
      <c r="I31" s="431"/>
      <c r="J31" s="432"/>
      <c r="K31" s="433"/>
      <c r="L31" s="434"/>
      <c r="M31" s="435"/>
      <c r="N31" s="436"/>
      <c r="O31" s="437"/>
      <c r="P31" s="438"/>
      <c r="Q31" s="439"/>
      <c r="R31" s="440"/>
      <c r="S31" s="222"/>
      <c r="T31" s="441"/>
      <c r="U31" s="222">
        <f t="shared" si="7"/>
        <v>0</v>
      </c>
      <c r="V31" s="222">
        <f t="shared" ref="V31:V32" si="11">U31*D31</f>
        <v>0</v>
      </c>
      <c r="W31" s="222">
        <f>U31*2.24</f>
        <v>0</v>
      </c>
      <c r="X31" s="262">
        <f t="shared" si="10"/>
        <v>0</v>
      </c>
    </row>
    <row r="32" ht="99.75" customHeight="1">
      <c r="B32" s="150" t="s">
        <v>444</v>
      </c>
      <c r="C32" s="117"/>
      <c r="D32" s="117">
        <v>10.0</v>
      </c>
      <c r="E32" s="117" t="s">
        <v>445</v>
      </c>
      <c r="F32" s="46">
        <v>153.0</v>
      </c>
      <c r="G32" s="429"/>
      <c r="H32" s="430"/>
      <c r="I32" s="431"/>
      <c r="J32" s="432"/>
      <c r="K32" s="433"/>
      <c r="L32" s="434"/>
      <c r="M32" s="435"/>
      <c r="N32" s="436"/>
      <c r="O32" s="437"/>
      <c r="P32" s="438"/>
      <c r="Q32" s="439"/>
      <c r="R32" s="440"/>
      <c r="S32" s="222"/>
      <c r="T32" s="441"/>
      <c r="U32" s="222">
        <f t="shared" si="7"/>
        <v>0</v>
      </c>
      <c r="V32" s="222">
        <f t="shared" si="11"/>
        <v>0</v>
      </c>
      <c r="W32" s="222">
        <f>U32*2.34</f>
        <v>0</v>
      </c>
      <c r="X32" s="262">
        <f t="shared" si="10"/>
        <v>0</v>
      </c>
    </row>
    <row r="33" ht="99.75" customHeight="1">
      <c r="B33" s="150" t="s">
        <v>446</v>
      </c>
      <c r="C33" s="117"/>
      <c r="D33" s="117">
        <v>5.0</v>
      </c>
      <c r="E33" s="117" t="s">
        <v>447</v>
      </c>
      <c r="F33" s="46">
        <v>128.0</v>
      </c>
      <c r="G33" s="429"/>
      <c r="H33" s="430"/>
      <c r="I33" s="431"/>
      <c r="J33" s="432"/>
      <c r="K33" s="433"/>
      <c r="L33" s="434"/>
      <c r="M33" s="435"/>
      <c r="N33" s="436"/>
      <c r="O33" s="437"/>
      <c r="P33" s="438"/>
      <c r="Q33" s="439"/>
      <c r="R33" s="440"/>
      <c r="S33" s="222"/>
      <c r="T33" s="441"/>
      <c r="U33" s="222">
        <f t="shared" si="7"/>
        <v>0</v>
      </c>
      <c r="V33" s="222">
        <f>D33*U33</f>
        <v>0</v>
      </c>
      <c r="W33" s="222">
        <f>U33*2.24</f>
        <v>0</v>
      </c>
      <c r="X33" s="262">
        <f t="shared" si="10"/>
        <v>0</v>
      </c>
    </row>
    <row r="34" ht="99.75" customHeight="1">
      <c r="B34" s="150" t="s">
        <v>448</v>
      </c>
      <c r="C34" s="117"/>
      <c r="D34" s="117">
        <v>5.0</v>
      </c>
      <c r="E34" s="117" t="s">
        <v>449</v>
      </c>
      <c r="F34" s="46">
        <v>148.0</v>
      </c>
      <c r="G34" s="429"/>
      <c r="H34" s="430"/>
      <c r="I34" s="431"/>
      <c r="J34" s="432"/>
      <c r="K34" s="433"/>
      <c r="L34" s="434"/>
      <c r="M34" s="435"/>
      <c r="N34" s="436"/>
      <c r="O34" s="437"/>
      <c r="P34" s="438"/>
      <c r="Q34" s="439"/>
      <c r="R34" s="440"/>
      <c r="S34" s="222"/>
      <c r="T34" s="441"/>
      <c r="U34" s="222">
        <f t="shared" si="7"/>
        <v>0</v>
      </c>
      <c r="V34" s="222">
        <f t="shared" ref="V34:V35" si="12">U34*D34</f>
        <v>0</v>
      </c>
      <c r="W34" s="222">
        <f>U34*2.55</f>
        <v>0</v>
      </c>
      <c r="X34" s="262">
        <f t="shared" si="10"/>
        <v>0</v>
      </c>
    </row>
    <row r="35" ht="99.75" customHeight="1">
      <c r="B35" s="150" t="s">
        <v>450</v>
      </c>
      <c r="C35" s="117"/>
      <c r="D35" s="117">
        <v>10.0</v>
      </c>
      <c r="E35" s="117" t="s">
        <v>451</v>
      </c>
      <c r="F35" s="46">
        <v>184.0</v>
      </c>
      <c r="G35" s="429"/>
      <c r="H35" s="430"/>
      <c r="I35" s="431"/>
      <c r="J35" s="432"/>
      <c r="K35" s="433"/>
      <c r="L35" s="434"/>
      <c r="M35" s="435"/>
      <c r="N35" s="436"/>
      <c r="O35" s="437"/>
      <c r="P35" s="438"/>
      <c r="Q35" s="439"/>
      <c r="R35" s="440"/>
      <c r="S35" s="222"/>
      <c r="T35" s="441"/>
      <c r="U35" s="222">
        <f t="shared" si="7"/>
        <v>0</v>
      </c>
      <c r="V35" s="222">
        <f t="shared" si="12"/>
        <v>0</v>
      </c>
      <c r="W35" s="222">
        <f>U35*2.95</f>
        <v>0</v>
      </c>
      <c r="X35" s="262">
        <f t="shared" si="10"/>
        <v>0</v>
      </c>
    </row>
    <row r="36" ht="99.75" customHeight="1">
      <c r="B36" s="150" t="s">
        <v>452</v>
      </c>
      <c r="C36" s="117"/>
      <c r="D36" s="117">
        <v>5.0</v>
      </c>
      <c r="E36" s="117" t="s">
        <v>453</v>
      </c>
      <c r="F36" s="46">
        <v>162.0</v>
      </c>
      <c r="G36" s="429"/>
      <c r="H36" s="430"/>
      <c r="I36" s="431"/>
      <c r="J36" s="432"/>
      <c r="K36" s="433"/>
      <c r="L36" s="434"/>
      <c r="M36" s="435"/>
      <c r="N36" s="436"/>
      <c r="O36" s="437"/>
      <c r="P36" s="438"/>
      <c r="Q36" s="439"/>
      <c r="R36" s="440"/>
      <c r="S36" s="222"/>
      <c r="T36" s="441"/>
      <c r="U36" s="222">
        <f t="shared" si="7"/>
        <v>0</v>
      </c>
      <c r="V36" s="222">
        <f t="shared" ref="V36:V41" si="13">D36*U36</f>
        <v>0</v>
      </c>
      <c r="W36" s="222">
        <f>U36*1.92</f>
        <v>0</v>
      </c>
      <c r="X36" s="262">
        <f t="shared" si="10"/>
        <v>0</v>
      </c>
    </row>
    <row r="37" ht="99.75" customHeight="1">
      <c r="B37" s="150" t="s">
        <v>454</v>
      </c>
      <c r="C37" s="117"/>
      <c r="D37" s="117">
        <v>5.0</v>
      </c>
      <c r="E37" s="117" t="s">
        <v>455</v>
      </c>
      <c r="F37" s="46">
        <v>161.0</v>
      </c>
      <c r="G37" s="429"/>
      <c r="H37" s="430"/>
      <c r="I37" s="431"/>
      <c r="J37" s="432"/>
      <c r="K37" s="433"/>
      <c r="L37" s="434"/>
      <c r="M37" s="435"/>
      <c r="N37" s="436"/>
      <c r="O37" s="437"/>
      <c r="P37" s="438"/>
      <c r="Q37" s="439"/>
      <c r="R37" s="440"/>
      <c r="S37" s="222"/>
      <c r="T37" s="441"/>
      <c r="U37" s="222">
        <f t="shared" si="7"/>
        <v>0</v>
      </c>
      <c r="V37" s="222">
        <f t="shared" si="13"/>
        <v>0</v>
      </c>
      <c r="W37" s="222">
        <f>U37*1.9</f>
        <v>0</v>
      </c>
      <c r="X37" s="262">
        <f t="shared" si="10"/>
        <v>0</v>
      </c>
    </row>
    <row r="38" ht="99.75" customHeight="1">
      <c r="B38" s="150" t="s">
        <v>456</v>
      </c>
      <c r="C38" s="117"/>
      <c r="D38" s="117">
        <v>5.0</v>
      </c>
      <c r="E38" s="117" t="s">
        <v>457</v>
      </c>
      <c r="F38" s="46">
        <v>267.0</v>
      </c>
      <c r="G38" s="429"/>
      <c r="H38" s="430"/>
      <c r="I38" s="431"/>
      <c r="J38" s="432"/>
      <c r="K38" s="433"/>
      <c r="L38" s="434"/>
      <c r="M38" s="435"/>
      <c r="N38" s="436"/>
      <c r="O38" s="437"/>
      <c r="P38" s="438"/>
      <c r="Q38" s="439"/>
      <c r="R38" s="440"/>
      <c r="S38" s="222"/>
      <c r="T38" s="441"/>
      <c r="U38" s="222">
        <f t="shared" si="7"/>
        <v>0</v>
      </c>
      <c r="V38" s="222">
        <f t="shared" si="13"/>
        <v>0</v>
      </c>
      <c r="W38" s="222">
        <f>U38*3.95</f>
        <v>0</v>
      </c>
      <c r="X38" s="262">
        <f t="shared" si="10"/>
        <v>0</v>
      </c>
    </row>
    <row r="39" ht="99.75" customHeight="1">
      <c r="B39" s="261" t="s">
        <v>157</v>
      </c>
      <c r="C39" s="117"/>
      <c r="D39" s="117">
        <v>3.0</v>
      </c>
      <c r="E39" s="117" t="s">
        <v>458</v>
      </c>
      <c r="F39" s="46">
        <v>165.0</v>
      </c>
      <c r="G39" s="429"/>
      <c r="H39" s="430"/>
      <c r="I39" s="431"/>
      <c r="J39" s="432"/>
      <c r="K39" s="433"/>
      <c r="L39" s="434"/>
      <c r="M39" s="435"/>
      <c r="N39" s="436"/>
      <c r="O39" s="437"/>
      <c r="P39" s="438"/>
      <c r="Q39" s="439"/>
      <c r="R39" s="440"/>
      <c r="S39" s="222"/>
      <c r="T39" s="441"/>
      <c r="U39" s="222">
        <f t="shared" si="7"/>
        <v>0</v>
      </c>
      <c r="V39" s="222">
        <f t="shared" si="13"/>
        <v>0</v>
      </c>
      <c r="W39" s="222">
        <f>U39*2.4</f>
        <v>0</v>
      </c>
      <c r="X39" s="262">
        <f t="shared" si="10"/>
        <v>0</v>
      </c>
    </row>
    <row r="40" ht="99.75" customHeight="1">
      <c r="B40" s="261" t="s">
        <v>159</v>
      </c>
      <c r="C40" s="117"/>
      <c r="D40" s="117">
        <v>3.0</v>
      </c>
      <c r="E40" s="117" t="s">
        <v>459</v>
      </c>
      <c r="F40" s="46">
        <v>245.0</v>
      </c>
      <c r="G40" s="429"/>
      <c r="H40" s="430"/>
      <c r="I40" s="431"/>
      <c r="J40" s="432"/>
      <c r="K40" s="433"/>
      <c r="L40" s="434"/>
      <c r="M40" s="435"/>
      <c r="N40" s="436"/>
      <c r="O40" s="437"/>
      <c r="P40" s="438"/>
      <c r="Q40" s="439"/>
      <c r="R40" s="440"/>
      <c r="S40" s="222"/>
      <c r="T40" s="441"/>
      <c r="U40" s="222">
        <f t="shared" si="7"/>
        <v>0</v>
      </c>
      <c r="V40" s="222">
        <f t="shared" si="13"/>
        <v>0</v>
      </c>
      <c r="W40" s="222">
        <f>U40*3.94</f>
        <v>0</v>
      </c>
      <c r="X40" s="262">
        <f t="shared" si="10"/>
        <v>0</v>
      </c>
    </row>
    <row r="41" ht="99.75" customHeight="1">
      <c r="B41" s="261" t="s">
        <v>460</v>
      </c>
      <c r="C41" s="263"/>
      <c r="D41" s="117">
        <v>5.0</v>
      </c>
      <c r="E41" s="117" t="s">
        <v>461</v>
      </c>
      <c r="F41" s="46">
        <v>195.0</v>
      </c>
      <c r="G41" s="429"/>
      <c r="H41" s="430"/>
      <c r="I41" s="431"/>
      <c r="J41" s="432"/>
      <c r="K41" s="433"/>
      <c r="L41" s="434"/>
      <c r="M41" s="435"/>
      <c r="N41" s="436"/>
      <c r="O41" s="437"/>
      <c r="P41" s="438"/>
      <c r="Q41" s="439"/>
      <c r="R41" s="440"/>
      <c r="S41" s="222"/>
      <c r="T41" s="441"/>
      <c r="U41" s="222">
        <f t="shared" si="7"/>
        <v>0</v>
      </c>
      <c r="V41" s="222">
        <f t="shared" si="13"/>
        <v>0</v>
      </c>
      <c r="W41" s="222">
        <f>U41*2.55</f>
        <v>0</v>
      </c>
      <c r="X41" s="262">
        <f t="shared" si="10"/>
        <v>0</v>
      </c>
    </row>
    <row r="42" ht="99.75" customHeight="1">
      <c r="B42" s="261" t="s">
        <v>389</v>
      </c>
      <c r="C42" s="263"/>
      <c r="D42" s="117">
        <v>5.0</v>
      </c>
      <c r="E42" s="117" t="s">
        <v>462</v>
      </c>
      <c r="F42" s="46">
        <v>252.0</v>
      </c>
      <c r="G42" s="429"/>
      <c r="H42" s="430"/>
      <c r="I42" s="431"/>
      <c r="J42" s="432"/>
      <c r="K42" s="433"/>
      <c r="L42" s="434"/>
      <c r="M42" s="435"/>
      <c r="N42" s="436"/>
      <c r="O42" s="437"/>
      <c r="P42" s="438"/>
      <c r="Q42" s="439"/>
      <c r="R42" s="440"/>
      <c r="S42" s="222"/>
      <c r="T42" s="441"/>
      <c r="U42" s="222">
        <f t="shared" si="7"/>
        <v>0</v>
      </c>
      <c r="V42" s="222">
        <f>U42*D42</f>
        <v>0</v>
      </c>
      <c r="W42" s="222">
        <f>U42*3.66</f>
        <v>0</v>
      </c>
      <c r="X42" s="262">
        <f t="shared" si="10"/>
        <v>0</v>
      </c>
    </row>
    <row r="43" ht="99.75" customHeight="1">
      <c r="B43" s="261" t="s">
        <v>463</v>
      </c>
      <c r="C43" s="263"/>
      <c r="D43" s="117">
        <v>4.0</v>
      </c>
      <c r="E43" s="117" t="s">
        <v>464</v>
      </c>
      <c r="F43" s="46">
        <v>243.0</v>
      </c>
      <c r="G43" s="429"/>
      <c r="H43" s="430"/>
      <c r="I43" s="431"/>
      <c r="J43" s="432"/>
      <c r="K43" s="433"/>
      <c r="L43" s="434"/>
      <c r="M43" s="435"/>
      <c r="N43" s="436"/>
      <c r="O43" s="437"/>
      <c r="P43" s="438"/>
      <c r="Q43" s="439"/>
      <c r="R43" s="440"/>
      <c r="S43" s="222"/>
      <c r="T43" s="441"/>
      <c r="U43" s="222">
        <f t="shared" si="7"/>
        <v>0</v>
      </c>
      <c r="V43" s="222">
        <f t="shared" ref="V43:V55" si="14">D43*U43</f>
        <v>0</v>
      </c>
      <c r="W43" s="222">
        <f>U43*3.7</f>
        <v>0</v>
      </c>
      <c r="X43" s="262">
        <f t="shared" si="10"/>
        <v>0</v>
      </c>
    </row>
    <row r="44" ht="99.75" customHeight="1">
      <c r="B44" s="261" t="s">
        <v>465</v>
      </c>
      <c r="C44" s="117"/>
      <c r="D44" s="117">
        <v>5.0</v>
      </c>
      <c r="E44" s="117" t="s">
        <v>466</v>
      </c>
      <c r="F44" s="46">
        <v>150.0</v>
      </c>
      <c r="G44" s="429"/>
      <c r="H44" s="430"/>
      <c r="I44" s="431"/>
      <c r="J44" s="432"/>
      <c r="K44" s="433"/>
      <c r="L44" s="434"/>
      <c r="M44" s="435"/>
      <c r="N44" s="436"/>
      <c r="O44" s="437"/>
      <c r="P44" s="438"/>
      <c r="Q44" s="439"/>
      <c r="R44" s="440"/>
      <c r="S44" s="222"/>
      <c r="T44" s="441"/>
      <c r="U44" s="222">
        <f t="shared" si="7"/>
        <v>0</v>
      </c>
      <c r="V44" s="222">
        <f t="shared" si="14"/>
        <v>0</v>
      </c>
      <c r="W44" s="222">
        <f>U44*2.62</f>
        <v>0</v>
      </c>
      <c r="X44" s="262">
        <f t="shared" si="10"/>
        <v>0</v>
      </c>
    </row>
    <row r="45" ht="99.75" customHeight="1">
      <c r="B45" s="261" t="s">
        <v>165</v>
      </c>
      <c r="C45" s="117"/>
      <c r="D45" s="117">
        <v>5.0</v>
      </c>
      <c r="E45" s="117" t="s">
        <v>467</v>
      </c>
      <c r="F45" s="46">
        <v>167.0</v>
      </c>
      <c r="G45" s="429"/>
      <c r="H45" s="430"/>
      <c r="I45" s="431"/>
      <c r="J45" s="432"/>
      <c r="K45" s="433"/>
      <c r="L45" s="434"/>
      <c r="M45" s="435"/>
      <c r="N45" s="436"/>
      <c r="O45" s="437"/>
      <c r="P45" s="438"/>
      <c r="Q45" s="439"/>
      <c r="R45" s="440"/>
      <c r="S45" s="222"/>
      <c r="T45" s="441"/>
      <c r="U45" s="222">
        <f t="shared" si="7"/>
        <v>0</v>
      </c>
      <c r="V45" s="222">
        <f t="shared" si="14"/>
        <v>0</v>
      </c>
      <c r="W45" s="222">
        <f>U45*2.1</f>
        <v>0</v>
      </c>
      <c r="X45" s="262">
        <f t="shared" si="10"/>
        <v>0</v>
      </c>
    </row>
    <row r="46" ht="99.75" customHeight="1">
      <c r="B46" s="261" t="s">
        <v>171</v>
      </c>
      <c r="C46" s="117"/>
      <c r="D46" s="117">
        <v>5.0</v>
      </c>
      <c r="E46" s="117" t="s">
        <v>468</v>
      </c>
      <c r="F46" s="46">
        <v>167.0</v>
      </c>
      <c r="G46" s="429"/>
      <c r="H46" s="430"/>
      <c r="I46" s="431"/>
      <c r="J46" s="432"/>
      <c r="K46" s="433"/>
      <c r="L46" s="434"/>
      <c r="M46" s="435"/>
      <c r="N46" s="436"/>
      <c r="O46" s="437"/>
      <c r="P46" s="438"/>
      <c r="Q46" s="439"/>
      <c r="R46" s="440"/>
      <c r="S46" s="222"/>
      <c r="T46" s="441"/>
      <c r="U46" s="222">
        <f t="shared" si="7"/>
        <v>0</v>
      </c>
      <c r="V46" s="222">
        <f t="shared" si="14"/>
        <v>0</v>
      </c>
      <c r="W46" s="222">
        <f>U46*2.02</f>
        <v>0</v>
      </c>
      <c r="X46" s="262">
        <f t="shared" si="10"/>
        <v>0</v>
      </c>
    </row>
    <row r="47" ht="99.75" customHeight="1">
      <c r="B47" s="150" t="s">
        <v>469</v>
      </c>
      <c r="C47" s="117"/>
      <c r="D47" s="117">
        <v>5.0</v>
      </c>
      <c r="E47" s="117" t="s">
        <v>470</v>
      </c>
      <c r="F47" s="46">
        <v>198.0</v>
      </c>
      <c r="G47" s="429"/>
      <c r="H47" s="430"/>
      <c r="I47" s="431"/>
      <c r="J47" s="432"/>
      <c r="K47" s="433"/>
      <c r="L47" s="434"/>
      <c r="M47" s="435"/>
      <c r="N47" s="436"/>
      <c r="O47" s="437"/>
      <c r="P47" s="438"/>
      <c r="Q47" s="439"/>
      <c r="R47" s="440"/>
      <c r="S47" s="222"/>
      <c r="T47" s="441"/>
      <c r="U47" s="222">
        <f t="shared" si="7"/>
        <v>0</v>
      </c>
      <c r="V47" s="222">
        <f t="shared" si="14"/>
        <v>0</v>
      </c>
      <c r="W47" s="222">
        <f>U47*2.6</f>
        <v>0</v>
      </c>
      <c r="X47" s="262">
        <f t="shared" si="10"/>
        <v>0</v>
      </c>
    </row>
    <row r="48" ht="99.75" customHeight="1">
      <c r="B48" s="150" t="s">
        <v>471</v>
      </c>
      <c r="C48" s="117"/>
      <c r="D48" s="117">
        <v>5.0</v>
      </c>
      <c r="E48" s="117" t="s">
        <v>472</v>
      </c>
      <c r="F48" s="46">
        <v>244.0</v>
      </c>
      <c r="G48" s="429"/>
      <c r="H48" s="430"/>
      <c r="I48" s="431"/>
      <c r="J48" s="432"/>
      <c r="K48" s="433"/>
      <c r="L48" s="434"/>
      <c r="M48" s="435"/>
      <c r="N48" s="436"/>
      <c r="O48" s="437"/>
      <c r="P48" s="438"/>
      <c r="Q48" s="439"/>
      <c r="R48" s="440"/>
      <c r="S48" s="222"/>
      <c r="T48" s="441"/>
      <c r="U48" s="222">
        <f t="shared" si="7"/>
        <v>0</v>
      </c>
      <c r="V48" s="222">
        <f t="shared" si="14"/>
        <v>0</v>
      </c>
      <c r="W48" s="222">
        <f>U48*3.5</f>
        <v>0</v>
      </c>
      <c r="X48" s="262">
        <f t="shared" si="10"/>
        <v>0</v>
      </c>
    </row>
    <row r="49" ht="99.75" customHeight="1">
      <c r="B49" s="150" t="s">
        <v>473</v>
      </c>
      <c r="C49" s="117"/>
      <c r="D49" s="117">
        <v>3.0</v>
      </c>
      <c r="E49" s="117" t="s">
        <v>474</v>
      </c>
      <c r="F49" s="46">
        <v>167.0</v>
      </c>
      <c r="G49" s="429"/>
      <c r="H49" s="430"/>
      <c r="I49" s="431"/>
      <c r="J49" s="432"/>
      <c r="K49" s="433"/>
      <c r="L49" s="434"/>
      <c r="M49" s="435"/>
      <c r="N49" s="436"/>
      <c r="O49" s="437"/>
      <c r="P49" s="438"/>
      <c r="Q49" s="439"/>
      <c r="R49" s="440"/>
      <c r="S49" s="222"/>
      <c r="T49" s="441"/>
      <c r="U49" s="222">
        <f t="shared" si="7"/>
        <v>0</v>
      </c>
      <c r="V49" s="222">
        <f t="shared" si="14"/>
        <v>0</v>
      </c>
      <c r="W49" s="222">
        <f>U49*2.44</f>
        <v>0</v>
      </c>
      <c r="X49" s="262">
        <f t="shared" si="10"/>
        <v>0</v>
      </c>
    </row>
    <row r="50" ht="99.75" customHeight="1">
      <c r="B50" s="150" t="s">
        <v>475</v>
      </c>
      <c r="C50" s="117"/>
      <c r="D50" s="117">
        <v>2.0</v>
      </c>
      <c r="E50" s="117" t="s">
        <v>476</v>
      </c>
      <c r="F50" s="46">
        <v>221.0</v>
      </c>
      <c r="G50" s="429"/>
      <c r="H50" s="430"/>
      <c r="I50" s="431"/>
      <c r="J50" s="432"/>
      <c r="K50" s="433"/>
      <c r="L50" s="434"/>
      <c r="M50" s="435"/>
      <c r="N50" s="436"/>
      <c r="O50" s="437"/>
      <c r="P50" s="438"/>
      <c r="Q50" s="439"/>
      <c r="R50" s="440"/>
      <c r="S50" s="222"/>
      <c r="T50" s="441"/>
      <c r="U50" s="222">
        <f t="shared" si="7"/>
        <v>0</v>
      </c>
      <c r="V50" s="222">
        <f t="shared" si="14"/>
        <v>0</v>
      </c>
      <c r="W50" s="222">
        <f>U50*3.72</f>
        <v>0</v>
      </c>
      <c r="X50" s="262">
        <f t="shared" si="10"/>
        <v>0</v>
      </c>
    </row>
    <row r="51" ht="99.75" customHeight="1">
      <c r="B51" s="261" t="s">
        <v>477</v>
      </c>
      <c r="C51" s="117"/>
      <c r="D51" s="117">
        <v>2.0</v>
      </c>
      <c r="E51" s="117" t="s">
        <v>478</v>
      </c>
      <c r="F51" s="46">
        <v>169.0</v>
      </c>
      <c r="G51" s="429"/>
      <c r="H51" s="430"/>
      <c r="I51" s="431"/>
      <c r="J51" s="432"/>
      <c r="K51" s="433"/>
      <c r="L51" s="434"/>
      <c r="M51" s="435"/>
      <c r="N51" s="436"/>
      <c r="O51" s="437"/>
      <c r="P51" s="438"/>
      <c r="Q51" s="439"/>
      <c r="R51" s="440"/>
      <c r="S51" s="222"/>
      <c r="T51" s="441"/>
      <c r="U51" s="222">
        <f t="shared" si="7"/>
        <v>0</v>
      </c>
      <c r="V51" s="222">
        <f t="shared" si="14"/>
        <v>0</v>
      </c>
      <c r="W51" s="222">
        <f>U51*2.73</f>
        <v>0</v>
      </c>
      <c r="X51" s="262">
        <f t="shared" si="10"/>
        <v>0</v>
      </c>
    </row>
    <row r="52" ht="99.75" customHeight="1">
      <c r="B52" s="261" t="s">
        <v>479</v>
      </c>
      <c r="C52" s="117"/>
      <c r="D52" s="117">
        <v>2.0</v>
      </c>
      <c r="E52" s="117" t="s">
        <v>480</v>
      </c>
      <c r="F52" s="46">
        <v>147.0</v>
      </c>
      <c r="G52" s="429"/>
      <c r="H52" s="430"/>
      <c r="I52" s="431"/>
      <c r="J52" s="432"/>
      <c r="K52" s="433"/>
      <c r="L52" s="434"/>
      <c r="M52" s="435"/>
      <c r="N52" s="436"/>
      <c r="O52" s="437"/>
      <c r="P52" s="438"/>
      <c r="Q52" s="439"/>
      <c r="R52" s="440"/>
      <c r="S52" s="222"/>
      <c r="T52" s="441"/>
      <c r="U52" s="222">
        <f t="shared" si="7"/>
        <v>0</v>
      </c>
      <c r="V52" s="222">
        <f t="shared" si="14"/>
        <v>0</v>
      </c>
      <c r="W52" s="222">
        <f>U52*2.8</f>
        <v>0</v>
      </c>
      <c r="X52" s="262">
        <f t="shared" si="10"/>
        <v>0</v>
      </c>
    </row>
    <row r="53" ht="99.75" customHeight="1">
      <c r="B53" s="261" t="s">
        <v>481</v>
      </c>
      <c r="C53" s="263"/>
      <c r="D53" s="117">
        <v>2.0</v>
      </c>
      <c r="E53" s="117" t="s">
        <v>482</v>
      </c>
      <c r="F53" s="46">
        <v>137.0</v>
      </c>
      <c r="G53" s="429"/>
      <c r="H53" s="430"/>
      <c r="I53" s="431"/>
      <c r="J53" s="432"/>
      <c r="K53" s="433"/>
      <c r="L53" s="434"/>
      <c r="M53" s="435"/>
      <c r="N53" s="436"/>
      <c r="O53" s="437"/>
      <c r="P53" s="438"/>
      <c r="Q53" s="439"/>
      <c r="R53" s="440"/>
      <c r="S53" s="222"/>
      <c r="T53" s="441"/>
      <c r="U53" s="222">
        <f t="shared" si="7"/>
        <v>0</v>
      </c>
      <c r="V53" s="222">
        <f t="shared" si="14"/>
        <v>0</v>
      </c>
      <c r="W53" s="222">
        <f>U53*3.12</f>
        <v>0</v>
      </c>
      <c r="X53" s="262">
        <f t="shared" si="10"/>
        <v>0</v>
      </c>
    </row>
    <row r="54" ht="99.75" customHeight="1">
      <c r="B54" s="261" t="s">
        <v>483</v>
      </c>
      <c r="C54" s="263"/>
      <c r="D54" s="117">
        <v>2.0</v>
      </c>
      <c r="E54" s="117" t="s">
        <v>484</v>
      </c>
      <c r="F54" s="46">
        <v>156.0</v>
      </c>
      <c r="G54" s="429"/>
      <c r="H54" s="430"/>
      <c r="I54" s="431"/>
      <c r="J54" s="432"/>
      <c r="K54" s="433"/>
      <c r="L54" s="434"/>
      <c r="M54" s="435"/>
      <c r="N54" s="436"/>
      <c r="O54" s="437"/>
      <c r="P54" s="438"/>
      <c r="Q54" s="439"/>
      <c r="R54" s="440"/>
      <c r="S54" s="222"/>
      <c r="T54" s="441"/>
      <c r="U54" s="222">
        <f t="shared" si="7"/>
        <v>0</v>
      </c>
      <c r="V54" s="222">
        <f t="shared" si="14"/>
        <v>0</v>
      </c>
      <c r="W54" s="222">
        <f>U54*2.11</f>
        <v>0</v>
      </c>
      <c r="X54" s="262">
        <f t="shared" si="10"/>
        <v>0</v>
      </c>
    </row>
    <row r="55" ht="99.75" customHeight="1">
      <c r="B55" s="367" t="s">
        <v>485</v>
      </c>
      <c r="C55" s="263"/>
      <c r="D55" s="19">
        <v>2.0</v>
      </c>
      <c r="E55" s="19" t="s">
        <v>486</v>
      </c>
      <c r="F55" s="46">
        <v>247.0</v>
      </c>
      <c r="G55" s="443"/>
      <c r="H55" s="444"/>
      <c r="I55" s="445"/>
      <c r="J55" s="446"/>
      <c r="K55" s="447"/>
      <c r="L55" s="448"/>
      <c r="M55" s="449"/>
      <c r="N55" s="450"/>
      <c r="O55" s="451"/>
      <c r="P55" s="452"/>
      <c r="Q55" s="453"/>
      <c r="R55" s="454"/>
      <c r="S55" s="455"/>
      <c r="T55" s="456"/>
      <c r="U55" s="455">
        <f t="shared" si="7"/>
        <v>0</v>
      </c>
      <c r="V55" s="455">
        <f t="shared" si="14"/>
        <v>0</v>
      </c>
      <c r="W55" s="455">
        <f>U55*4.3</f>
        <v>0</v>
      </c>
      <c r="X55" s="457">
        <f t="shared" si="10"/>
        <v>0</v>
      </c>
    </row>
    <row r="56" ht="15.75" customHeight="1">
      <c r="F56" s="1"/>
      <c r="G56" s="478">
        <f t="shared" ref="G56:X56" si="15">SUM(G23:G55)</f>
        <v>0</v>
      </c>
      <c r="H56" s="479">
        <f t="shared" si="15"/>
        <v>0</v>
      </c>
      <c r="I56" s="480">
        <f t="shared" si="15"/>
        <v>0</v>
      </c>
      <c r="J56" s="480">
        <f t="shared" si="15"/>
        <v>0</v>
      </c>
      <c r="K56" s="480">
        <f t="shared" si="15"/>
        <v>0</v>
      </c>
      <c r="L56" s="480">
        <f t="shared" si="15"/>
        <v>0</v>
      </c>
      <c r="M56" s="480">
        <f t="shared" si="15"/>
        <v>0</v>
      </c>
      <c r="N56" s="480">
        <f t="shared" si="15"/>
        <v>0</v>
      </c>
      <c r="O56" s="480">
        <f t="shared" si="15"/>
        <v>0</v>
      </c>
      <c r="P56" s="480">
        <f t="shared" si="15"/>
        <v>0</v>
      </c>
      <c r="Q56" s="480">
        <f t="shared" si="15"/>
        <v>0</v>
      </c>
      <c r="R56" s="480">
        <f t="shared" si="15"/>
        <v>0</v>
      </c>
      <c r="S56" s="480">
        <f t="shared" si="15"/>
        <v>0</v>
      </c>
      <c r="T56" s="480">
        <f t="shared" si="15"/>
        <v>0</v>
      </c>
      <c r="U56" s="480">
        <f t="shared" si="15"/>
        <v>0</v>
      </c>
      <c r="V56" s="480">
        <f t="shared" si="15"/>
        <v>0</v>
      </c>
      <c r="W56" s="480">
        <f t="shared" si="15"/>
        <v>0</v>
      </c>
      <c r="X56" s="481">
        <f t="shared" si="15"/>
        <v>0</v>
      </c>
    </row>
    <row r="57" ht="15.75" customHeight="1">
      <c r="F57" s="1"/>
    </row>
    <row r="58" ht="15.75" customHeight="1">
      <c r="F58" s="1"/>
    </row>
    <row r="59" ht="15.75" customHeight="1">
      <c r="F59" s="1"/>
    </row>
    <row r="60" ht="15.75" customHeight="1">
      <c r="F60" s="1"/>
    </row>
    <row r="61" ht="15.75" customHeight="1">
      <c r="F61" s="1"/>
    </row>
    <row r="62" ht="15.75" customHeight="1">
      <c r="F62" s="1"/>
    </row>
    <row r="63" ht="15.75" customHeight="1">
      <c r="F63" s="1"/>
    </row>
    <row r="64" ht="15.75" customHeight="1">
      <c r="F64" s="1"/>
    </row>
    <row r="65" ht="15.75" customHeight="1">
      <c r="F65" s="1"/>
    </row>
    <row r="66" ht="15.75" customHeight="1">
      <c r="F66" s="1"/>
    </row>
    <row r="67" ht="15.75" customHeight="1">
      <c r="F67" s="1"/>
    </row>
    <row r="68" ht="15.75" customHeight="1">
      <c r="F68" s="1"/>
    </row>
    <row r="69" ht="15.75" customHeight="1">
      <c r="F69" s="1"/>
    </row>
    <row r="70" ht="15.75" customHeight="1">
      <c r="F70" s="1"/>
    </row>
    <row r="71" ht="15.75" customHeight="1">
      <c r="F71" s="1"/>
    </row>
    <row r="72" ht="15.75" customHeight="1">
      <c r="F72" s="1"/>
    </row>
    <row r="73" ht="15.75" customHeight="1">
      <c r="F73" s="1"/>
    </row>
    <row r="74" ht="15.75" customHeight="1">
      <c r="F74" s="1"/>
    </row>
    <row r="75" ht="15.75" customHeight="1">
      <c r="F75" s="1"/>
    </row>
    <row r="76" ht="15.75" customHeight="1">
      <c r="F76" s="1"/>
    </row>
    <row r="77" ht="15.75" customHeight="1">
      <c r="F77" s="1"/>
    </row>
    <row r="78" ht="15.75" customHeight="1">
      <c r="F78" s="1"/>
    </row>
    <row r="79" ht="15.75" customHeight="1">
      <c r="F79" s="1"/>
    </row>
    <row r="80" ht="15.75" customHeight="1">
      <c r="F80" s="1"/>
    </row>
    <row r="81" ht="15.75" customHeight="1">
      <c r="F81" s="1"/>
    </row>
    <row r="82" ht="15.75" customHeight="1">
      <c r="F82" s="1"/>
    </row>
    <row r="83" ht="15.75" customHeight="1">
      <c r="F83" s="1"/>
    </row>
    <row r="84" ht="15.75" customHeight="1">
      <c r="F84" s="1"/>
    </row>
    <row r="85" ht="15.75" customHeight="1">
      <c r="F85" s="1"/>
    </row>
    <row r="86" ht="15.75" customHeight="1">
      <c r="F86" s="1"/>
    </row>
    <row r="87" ht="15.75" customHeight="1">
      <c r="F87" s="1"/>
    </row>
    <row r="88" ht="15.75" customHeight="1">
      <c r="F88" s="1"/>
    </row>
    <row r="89" ht="15.75" customHeight="1">
      <c r="F89" s="1"/>
    </row>
    <row r="90" ht="15.75" customHeight="1">
      <c r="F90" s="1"/>
    </row>
    <row r="91" ht="15.75" customHeight="1">
      <c r="F91" s="1"/>
    </row>
    <row r="92" ht="15.75" customHeight="1">
      <c r="F92" s="1"/>
    </row>
    <row r="93" ht="15.75" customHeight="1">
      <c r="F93" s="1"/>
    </row>
    <row r="94" ht="15.75" customHeight="1">
      <c r="F94" s="1"/>
    </row>
    <row r="95" ht="15.75" customHeight="1">
      <c r="F95" s="1"/>
    </row>
    <row r="96" ht="15.75" customHeight="1">
      <c r="F96" s="1"/>
    </row>
    <row r="97" ht="15.75" customHeight="1">
      <c r="F97" s="1"/>
    </row>
    <row r="98" ht="15.75" customHeight="1">
      <c r="F98" s="1"/>
    </row>
    <row r="99" ht="15.75" customHeight="1">
      <c r="F99" s="1"/>
    </row>
    <row r="100" ht="15.75" customHeight="1">
      <c r="F100" s="1"/>
    </row>
    <row r="101" ht="15.75" customHeight="1">
      <c r="F101" s="1"/>
    </row>
    <row r="102" ht="15.75" customHeight="1">
      <c r="F102" s="1"/>
    </row>
    <row r="103" ht="15.75" customHeight="1">
      <c r="F103" s="1"/>
    </row>
    <row r="104" ht="15.75" customHeight="1">
      <c r="F104" s="1"/>
    </row>
    <row r="105" ht="15.75" customHeight="1">
      <c r="F105" s="1"/>
    </row>
    <row r="106" ht="15.75" customHeight="1">
      <c r="F106" s="1"/>
    </row>
    <row r="107" ht="15.75" customHeight="1">
      <c r="F107" s="1"/>
    </row>
    <row r="108" ht="15.75" customHeight="1">
      <c r="F108" s="1"/>
    </row>
    <row r="109" ht="15.75" customHeight="1">
      <c r="F109" s="1"/>
    </row>
    <row r="110" ht="15.75" customHeight="1">
      <c r="F110" s="1"/>
    </row>
    <row r="111" ht="15.75" customHeight="1">
      <c r="F111" s="1"/>
    </row>
    <row r="112" ht="15.75" customHeight="1">
      <c r="F112" s="1"/>
    </row>
    <row r="113" ht="15.75" customHeight="1">
      <c r="F113" s="1"/>
    </row>
    <row r="114" ht="15.75" customHeight="1">
      <c r="F114" s="1"/>
    </row>
    <row r="115" ht="15.75" customHeight="1">
      <c r="F115" s="1"/>
    </row>
    <row r="116" ht="15.75" customHeight="1">
      <c r="F116" s="1"/>
    </row>
    <row r="117" ht="15.75" customHeight="1">
      <c r="F117" s="1"/>
    </row>
    <row r="118" ht="15.75" customHeight="1">
      <c r="F118" s="1"/>
    </row>
    <row r="119" ht="15.75" customHeight="1">
      <c r="F119" s="1"/>
    </row>
    <row r="120" ht="15.75" customHeight="1">
      <c r="F120" s="1"/>
    </row>
    <row r="121" ht="15.75" customHeight="1">
      <c r="F121" s="1"/>
    </row>
    <row r="122" ht="15.75" customHeight="1">
      <c r="F122" s="1"/>
    </row>
    <row r="123" ht="15.75" customHeight="1">
      <c r="F123" s="1"/>
    </row>
    <row r="124" ht="15.75" customHeight="1">
      <c r="F124" s="1"/>
    </row>
    <row r="125" ht="15.75" customHeight="1">
      <c r="F125" s="1"/>
    </row>
    <row r="126" ht="15.75" customHeight="1">
      <c r="F126" s="1"/>
    </row>
    <row r="127" ht="15.75" customHeight="1">
      <c r="F127" s="1"/>
    </row>
    <row r="128" ht="15.75" customHeight="1">
      <c r="F128" s="1"/>
    </row>
    <row r="129" ht="15.75" customHeight="1">
      <c r="F129" s="1"/>
    </row>
    <row r="130" ht="15.75" customHeight="1">
      <c r="F130" s="1"/>
    </row>
    <row r="131" ht="15.75" customHeight="1">
      <c r="F131" s="1"/>
    </row>
    <row r="132" ht="15.75" customHeight="1">
      <c r="F132" s="1"/>
    </row>
    <row r="133" ht="15.75" customHeight="1">
      <c r="F133" s="1"/>
    </row>
    <row r="134" ht="15.75" customHeight="1">
      <c r="F134" s="1"/>
    </row>
    <row r="135" ht="15.75" customHeight="1">
      <c r="F135" s="1"/>
    </row>
    <row r="136" ht="15.75" customHeight="1">
      <c r="F136" s="1"/>
    </row>
    <row r="137" ht="15.75" customHeight="1">
      <c r="F137" s="1"/>
    </row>
    <row r="138" ht="15.75" customHeight="1">
      <c r="F138" s="1"/>
    </row>
    <row r="139" ht="15.75" customHeight="1">
      <c r="F139" s="1"/>
    </row>
    <row r="140" ht="15.75" customHeight="1">
      <c r="F140" s="1"/>
    </row>
    <row r="141" ht="15.75" customHeight="1">
      <c r="F141" s="1"/>
    </row>
    <row r="142" ht="15.75" customHeight="1">
      <c r="F142" s="1"/>
    </row>
    <row r="143" ht="15.75" customHeight="1">
      <c r="F143" s="1"/>
    </row>
    <row r="144" ht="15.75" customHeight="1">
      <c r="F144" s="1"/>
    </row>
    <row r="145" ht="15.75" customHeight="1">
      <c r="F145" s="1"/>
    </row>
    <row r="146" ht="15.75" customHeight="1">
      <c r="F146" s="1"/>
    </row>
    <row r="147" ht="15.75" customHeight="1">
      <c r="F147" s="1"/>
    </row>
    <row r="148" ht="15.75" customHeight="1">
      <c r="F148" s="1"/>
    </row>
    <row r="149" ht="15.75" customHeight="1">
      <c r="F149" s="1"/>
    </row>
    <row r="150" ht="15.75" customHeight="1">
      <c r="F150" s="1"/>
    </row>
    <row r="151" ht="15.75" customHeight="1">
      <c r="F151" s="1"/>
    </row>
    <row r="152" ht="15.75" customHeight="1">
      <c r="F152" s="1"/>
    </row>
    <row r="153" ht="15.75" customHeight="1">
      <c r="F153" s="1"/>
    </row>
    <row r="154" ht="15.75" customHeight="1">
      <c r="F154" s="1"/>
    </row>
    <row r="155" ht="15.75" customHeight="1">
      <c r="F155" s="1"/>
    </row>
    <row r="156" ht="15.75" customHeight="1">
      <c r="F156" s="1"/>
    </row>
    <row r="157" ht="15.75" customHeight="1">
      <c r="F157" s="1"/>
    </row>
    <row r="158" ht="15.75" customHeight="1">
      <c r="F158" s="1"/>
    </row>
    <row r="159" ht="15.75" customHeight="1">
      <c r="F159" s="1"/>
    </row>
    <row r="160" ht="15.75" customHeight="1">
      <c r="F160" s="1"/>
    </row>
    <row r="161" ht="15.75" customHeight="1">
      <c r="F161" s="1"/>
    </row>
    <row r="162" ht="15.75" customHeight="1">
      <c r="F162" s="1"/>
    </row>
    <row r="163" ht="15.75" customHeight="1">
      <c r="F163" s="1"/>
    </row>
    <row r="164" ht="15.75" customHeight="1">
      <c r="F164" s="1"/>
    </row>
    <row r="165" ht="15.75" customHeight="1">
      <c r="F165" s="1"/>
    </row>
    <row r="166" ht="15.75" customHeight="1">
      <c r="F166" s="1"/>
    </row>
    <row r="167" ht="15.75" customHeight="1">
      <c r="F167" s="1"/>
    </row>
    <row r="168" ht="15.75" customHeight="1">
      <c r="F168" s="1"/>
    </row>
    <row r="169" ht="15.75" customHeight="1">
      <c r="F169" s="1"/>
    </row>
    <row r="170" ht="15.75" customHeight="1">
      <c r="F170" s="1"/>
    </row>
    <row r="171" ht="15.75" customHeight="1">
      <c r="F171" s="1"/>
    </row>
    <row r="172" ht="15.75" customHeight="1">
      <c r="F172" s="1"/>
    </row>
    <row r="173" ht="15.75" customHeight="1">
      <c r="F173" s="1"/>
    </row>
    <row r="174" ht="15.75" customHeight="1">
      <c r="F174" s="1"/>
    </row>
    <row r="175" ht="15.75" customHeight="1">
      <c r="F175" s="1"/>
    </row>
    <row r="176" ht="15.75" customHeight="1">
      <c r="F176" s="1"/>
    </row>
    <row r="177" ht="15.75" customHeight="1">
      <c r="F177" s="1"/>
    </row>
    <row r="178" ht="15.75" customHeight="1">
      <c r="F178" s="1"/>
    </row>
    <row r="179" ht="15.75" customHeight="1">
      <c r="F179" s="1"/>
    </row>
    <row r="180" ht="15.75" customHeight="1">
      <c r="F180" s="1"/>
    </row>
    <row r="181" ht="15.75" customHeight="1">
      <c r="F181" s="1"/>
    </row>
    <row r="182" ht="15.75" customHeight="1">
      <c r="F182" s="1"/>
    </row>
    <row r="183" ht="15.75" customHeight="1">
      <c r="F183" s="1"/>
    </row>
    <row r="184" ht="15.75" customHeight="1">
      <c r="F184" s="1"/>
    </row>
    <row r="185" ht="15.75" customHeight="1">
      <c r="F185" s="1"/>
    </row>
    <row r="186" ht="15.75" customHeight="1">
      <c r="F186" s="1"/>
    </row>
    <row r="187" ht="15.75" customHeight="1">
      <c r="F187" s="1"/>
    </row>
    <row r="188" ht="15.75" customHeight="1">
      <c r="F188" s="1"/>
    </row>
    <row r="189" ht="15.75" customHeight="1">
      <c r="F189" s="1"/>
    </row>
    <row r="190" ht="15.75" customHeight="1">
      <c r="F190" s="1"/>
    </row>
    <row r="191" ht="15.75" customHeight="1">
      <c r="F191" s="1"/>
    </row>
    <row r="192" ht="15.75" customHeight="1">
      <c r="F192" s="1"/>
    </row>
    <row r="193" ht="15.75" customHeight="1">
      <c r="F193" s="1"/>
    </row>
    <row r="194" ht="15.75" customHeight="1">
      <c r="F194" s="1"/>
    </row>
    <row r="195" ht="15.75" customHeight="1">
      <c r="F195" s="1"/>
    </row>
    <row r="196" ht="15.75" customHeight="1">
      <c r="F196" s="1"/>
    </row>
    <row r="197" ht="15.75" customHeight="1">
      <c r="F197" s="1"/>
    </row>
    <row r="198" ht="15.75" customHeight="1">
      <c r="F198" s="1"/>
    </row>
    <row r="199" ht="15.75" customHeight="1">
      <c r="F199" s="1"/>
    </row>
    <row r="200" ht="15.75" customHeight="1">
      <c r="F200" s="1"/>
    </row>
    <row r="201" ht="15.75" customHeight="1">
      <c r="F201" s="1"/>
    </row>
    <row r="202" ht="15.75" customHeight="1">
      <c r="F202" s="1"/>
    </row>
    <row r="203" ht="15.75" customHeight="1">
      <c r="F203" s="1"/>
    </row>
    <row r="204" ht="15.75" customHeight="1">
      <c r="F204" s="1"/>
    </row>
    <row r="205" ht="15.75" customHeight="1">
      <c r="F205" s="1"/>
    </row>
    <row r="206" ht="15.75" customHeight="1">
      <c r="F206" s="1"/>
    </row>
    <row r="207" ht="15.75" customHeight="1">
      <c r="F207" s="1"/>
    </row>
    <row r="208" ht="15.75" customHeight="1">
      <c r="F208" s="1"/>
    </row>
    <row r="209" ht="15.75" customHeight="1">
      <c r="F209" s="1"/>
    </row>
    <row r="210" ht="15.75" customHeight="1">
      <c r="F210" s="1"/>
    </row>
    <row r="211" ht="15.75" customHeight="1">
      <c r="F211" s="1"/>
    </row>
    <row r="212" ht="15.75" customHeight="1">
      <c r="F212" s="1"/>
    </row>
    <row r="213" ht="15.75" customHeight="1">
      <c r="F213" s="1"/>
    </row>
    <row r="214" ht="15.75" customHeight="1">
      <c r="F214" s="1"/>
    </row>
    <row r="215" ht="15.75" customHeight="1">
      <c r="F215" s="1"/>
    </row>
    <row r="216" ht="15.75" customHeight="1">
      <c r="F216" s="1"/>
    </row>
    <row r="217" ht="15.75" customHeight="1">
      <c r="F217" s="1"/>
    </row>
    <row r="218" ht="15.75" customHeight="1">
      <c r="F218" s="1"/>
    </row>
    <row r="219" ht="15.75" customHeight="1">
      <c r="F219" s="1"/>
    </row>
    <row r="220" ht="15.75" customHeight="1">
      <c r="F220" s="1"/>
    </row>
    <row r="221" ht="15.75" customHeight="1">
      <c r="F221" s="1"/>
    </row>
    <row r="222" ht="15.75" customHeight="1">
      <c r="F222" s="1"/>
    </row>
    <row r="223" ht="15.75" customHeight="1">
      <c r="F223" s="1"/>
    </row>
    <row r="224" ht="15.75" customHeight="1">
      <c r="F224" s="1"/>
    </row>
    <row r="225" ht="15.75" customHeight="1">
      <c r="F225" s="1"/>
    </row>
    <row r="226" ht="15.75" customHeight="1">
      <c r="F226" s="1"/>
    </row>
    <row r="227" ht="15.75" customHeight="1">
      <c r="F227" s="1"/>
    </row>
    <row r="228" ht="15.75" customHeight="1">
      <c r="F228" s="1"/>
    </row>
    <row r="229" ht="15.75" customHeight="1">
      <c r="F229" s="1"/>
    </row>
    <row r="230" ht="15.75" customHeight="1">
      <c r="F230" s="1"/>
    </row>
    <row r="231" ht="15.75" customHeight="1">
      <c r="F231" s="1"/>
    </row>
    <row r="232" ht="15.75" customHeight="1">
      <c r="F232" s="1"/>
    </row>
    <row r="233" ht="15.75" customHeight="1">
      <c r="F233" s="1"/>
    </row>
    <row r="234" ht="15.75" customHeight="1">
      <c r="F234" s="1"/>
    </row>
    <row r="235" ht="15.75" customHeight="1">
      <c r="F235" s="1"/>
    </row>
    <row r="236" ht="15.75" customHeight="1">
      <c r="F236" s="1"/>
    </row>
    <row r="237" ht="15.75" customHeight="1">
      <c r="F237" s="1"/>
    </row>
    <row r="238" ht="15.75" customHeight="1">
      <c r="F238" s="1"/>
    </row>
    <row r="239" ht="15.75" customHeight="1">
      <c r="F239" s="1"/>
    </row>
    <row r="240" ht="15.75" customHeight="1">
      <c r="F240" s="1"/>
    </row>
    <row r="241" ht="15.75" customHeight="1">
      <c r="F241" s="1"/>
    </row>
    <row r="242" ht="15.75" customHeight="1">
      <c r="F242" s="1"/>
    </row>
    <row r="243" ht="15.75" customHeight="1">
      <c r="F243" s="1"/>
    </row>
    <row r="244" ht="15.75" customHeight="1">
      <c r="F244" s="1"/>
    </row>
    <row r="245" ht="15.75" customHeight="1">
      <c r="F245" s="1"/>
    </row>
    <row r="246" ht="15.75" customHeight="1">
      <c r="F246" s="1"/>
    </row>
    <row r="247" ht="15.75" customHeight="1">
      <c r="F247" s="1"/>
    </row>
    <row r="248" ht="15.75" customHeight="1">
      <c r="F248" s="1"/>
    </row>
    <row r="249" ht="15.75" customHeight="1">
      <c r="F249" s="1"/>
    </row>
    <row r="250" ht="15.75" customHeight="1">
      <c r="F250" s="1"/>
    </row>
    <row r="251" ht="15.75" customHeight="1">
      <c r="F251" s="1"/>
    </row>
    <row r="252" ht="15.75" customHeight="1">
      <c r="F252" s="1"/>
    </row>
    <row r="253" ht="15.75" customHeight="1">
      <c r="F253" s="1"/>
    </row>
    <row r="254" ht="15.75" customHeight="1">
      <c r="F254" s="1"/>
    </row>
    <row r="255" ht="15.75" customHeight="1">
      <c r="F255" s="1"/>
    </row>
    <row r="256" ht="15.75" customHeight="1">
      <c r="F256" s="1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F3"/>
    <mergeCell ref="D6:E6"/>
    <mergeCell ref="D21:E2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6FFFF"/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9.14"/>
    <col customWidth="1" min="3" max="3" width="19.43"/>
    <col customWidth="1" min="4" max="4" width="9.14"/>
    <col customWidth="1" min="5" max="5" width="12.14"/>
    <col customWidth="1" min="6" max="6" width="9.14"/>
    <col customWidth="1" min="7" max="7" width="11.71"/>
    <col customWidth="1" min="8" max="18" width="9.14"/>
    <col customWidth="1" min="19" max="19" width="15.86"/>
    <col customWidth="1" min="20" max="20" width="6.29"/>
    <col customWidth="1" min="21" max="21" width="5.57"/>
    <col customWidth="1" min="22" max="22" width="5.86"/>
    <col customWidth="1" min="23" max="23" width="5.71"/>
    <col customWidth="1" min="24" max="24" width="5.29"/>
    <col customWidth="1" min="25" max="25" width="6.14"/>
    <col customWidth="1" min="26" max="26" width="5.57"/>
  </cols>
  <sheetData>
    <row r="1">
      <c r="G1" s="1"/>
    </row>
    <row r="2" ht="35.25" customHeight="1">
      <c r="B2" s="482" t="s">
        <v>487</v>
      </c>
    </row>
    <row r="3">
      <c r="B3" s="483"/>
      <c r="G3" s="1"/>
    </row>
    <row r="4">
      <c r="B4" s="188" t="s">
        <v>15</v>
      </c>
      <c r="C4" s="189" t="s">
        <v>16</v>
      </c>
      <c r="D4" s="190" t="s">
        <v>17</v>
      </c>
      <c r="E4" s="190" t="s">
        <v>488</v>
      </c>
      <c r="F4" s="190" t="s">
        <v>18</v>
      </c>
      <c r="G4" s="191" t="s">
        <v>19</v>
      </c>
      <c r="H4" s="484">
        <v>1018.0</v>
      </c>
      <c r="I4" s="485">
        <v>3020.0</v>
      </c>
      <c r="J4" s="486">
        <v>5015.0</v>
      </c>
      <c r="K4" s="487">
        <v>9005.0</v>
      </c>
      <c r="L4" s="488">
        <v>4008.0</v>
      </c>
      <c r="M4" s="489">
        <v>6027.0</v>
      </c>
      <c r="N4" s="490">
        <v>4005.0</v>
      </c>
      <c r="O4" s="491">
        <v>6001.0</v>
      </c>
      <c r="P4" s="492">
        <v>9003.0</v>
      </c>
      <c r="Q4" s="37" t="s">
        <v>489</v>
      </c>
      <c r="R4" s="38" t="s">
        <v>22</v>
      </c>
      <c r="S4" s="39" t="s">
        <v>23</v>
      </c>
    </row>
    <row r="5">
      <c r="B5" s="113"/>
      <c r="G5" s="1"/>
    </row>
    <row r="6" ht="45.75" customHeight="1">
      <c r="A6" s="493"/>
      <c r="B6" s="494" t="s">
        <v>490</v>
      </c>
      <c r="C6" s="495"/>
      <c r="D6" s="496">
        <v>8.0</v>
      </c>
      <c r="E6" s="497"/>
      <c r="F6" s="498"/>
      <c r="G6" s="499">
        <v>928.0</v>
      </c>
      <c r="H6" s="500"/>
      <c r="I6" s="501"/>
      <c r="J6" s="502"/>
      <c r="K6" s="503"/>
      <c r="L6" s="504"/>
      <c r="M6" s="505"/>
      <c r="N6" s="506"/>
      <c r="O6" s="507"/>
      <c r="P6" s="508"/>
      <c r="Q6" s="509">
        <f>SUM(H6:P6)*D6</f>
        <v>0</v>
      </c>
      <c r="R6" s="508"/>
      <c r="S6" s="510">
        <f>SUM(H6:P6)*G6</f>
        <v>0</v>
      </c>
      <c r="T6" s="493"/>
      <c r="U6" s="493"/>
      <c r="V6" s="493"/>
      <c r="W6" s="493"/>
      <c r="X6" s="493"/>
    </row>
    <row r="7" ht="51.75" customHeight="1">
      <c r="A7" s="493"/>
      <c r="B7" s="511" t="s">
        <v>491</v>
      </c>
      <c r="C7" s="512"/>
      <c r="D7" s="513">
        <v>1.0</v>
      </c>
      <c r="E7" s="514" t="s">
        <v>492</v>
      </c>
      <c r="F7" s="515" t="s">
        <v>493</v>
      </c>
      <c r="G7" s="516">
        <v>116.0</v>
      </c>
      <c r="H7" s="517"/>
      <c r="I7" s="518"/>
      <c r="J7" s="519"/>
      <c r="K7" s="520"/>
      <c r="L7" s="521"/>
      <c r="M7" s="522"/>
      <c r="N7" s="523"/>
      <c r="O7" s="524"/>
      <c r="P7" s="525"/>
      <c r="Q7" s="525">
        <f t="shared" ref="Q7:Q14" si="1">SUM(H7:P7)</f>
        <v>0</v>
      </c>
      <c r="R7" s="525"/>
      <c r="S7" s="526">
        <f t="shared" ref="S7:S14" si="2">Q7*G7</f>
        <v>0</v>
      </c>
    </row>
    <row r="8" ht="51.75" customHeight="1">
      <c r="A8" s="493"/>
      <c r="B8" s="511" t="s">
        <v>494</v>
      </c>
      <c r="C8" s="527"/>
      <c r="D8" s="513">
        <v>1.0</v>
      </c>
      <c r="E8" s="514" t="s">
        <v>495</v>
      </c>
      <c r="F8" s="515" t="s">
        <v>496</v>
      </c>
      <c r="G8" s="516">
        <v>116.0</v>
      </c>
      <c r="H8" s="517"/>
      <c r="I8" s="518"/>
      <c r="J8" s="519"/>
      <c r="K8" s="520"/>
      <c r="L8" s="528"/>
      <c r="M8" s="522"/>
      <c r="N8" s="523"/>
      <c r="O8" s="524"/>
      <c r="P8" s="525"/>
      <c r="Q8" s="525">
        <f t="shared" si="1"/>
        <v>0</v>
      </c>
      <c r="R8" s="525"/>
      <c r="S8" s="526">
        <f t="shared" si="2"/>
        <v>0</v>
      </c>
    </row>
    <row r="9" ht="51.75" customHeight="1">
      <c r="A9" s="493"/>
      <c r="B9" s="511" t="s">
        <v>497</v>
      </c>
      <c r="C9" s="527"/>
      <c r="D9" s="513">
        <v>1.0</v>
      </c>
      <c r="E9" s="514" t="s">
        <v>498</v>
      </c>
      <c r="F9" s="515" t="s">
        <v>499</v>
      </c>
      <c r="G9" s="516">
        <v>116.0</v>
      </c>
      <c r="H9" s="517"/>
      <c r="I9" s="518"/>
      <c r="J9" s="519"/>
      <c r="K9" s="520"/>
      <c r="L9" s="521"/>
      <c r="M9" s="522"/>
      <c r="N9" s="523"/>
      <c r="O9" s="524"/>
      <c r="P9" s="525"/>
      <c r="Q9" s="525">
        <f t="shared" si="1"/>
        <v>0</v>
      </c>
      <c r="R9" s="525"/>
      <c r="S9" s="526">
        <f t="shared" si="2"/>
        <v>0</v>
      </c>
    </row>
    <row r="10" ht="51.75" customHeight="1">
      <c r="A10" s="493"/>
      <c r="B10" s="511" t="s">
        <v>500</v>
      </c>
      <c r="C10" s="529"/>
      <c r="D10" s="513">
        <v>1.0</v>
      </c>
      <c r="E10" s="514" t="s">
        <v>501</v>
      </c>
      <c r="F10" s="515" t="s">
        <v>502</v>
      </c>
      <c r="G10" s="516">
        <v>116.0</v>
      </c>
      <c r="H10" s="517"/>
      <c r="I10" s="518"/>
      <c r="J10" s="519"/>
      <c r="K10" s="520"/>
      <c r="L10" s="521"/>
      <c r="M10" s="522"/>
      <c r="N10" s="523"/>
      <c r="O10" s="524"/>
      <c r="P10" s="525"/>
      <c r="Q10" s="525">
        <f t="shared" si="1"/>
        <v>0</v>
      </c>
      <c r="R10" s="525"/>
      <c r="S10" s="526">
        <f t="shared" si="2"/>
        <v>0</v>
      </c>
    </row>
    <row r="11" ht="51.75" customHeight="1">
      <c r="A11" s="493"/>
      <c r="B11" s="511" t="s">
        <v>503</v>
      </c>
      <c r="C11" s="530"/>
      <c r="D11" s="513">
        <v>1.0</v>
      </c>
      <c r="E11" s="514"/>
      <c r="F11" s="515" t="s">
        <v>504</v>
      </c>
      <c r="G11" s="516">
        <v>116.0</v>
      </c>
      <c r="H11" s="517"/>
      <c r="I11" s="518"/>
      <c r="J11" s="519"/>
      <c r="K11" s="520"/>
      <c r="L11" s="521"/>
      <c r="M11" s="522"/>
      <c r="N11" s="523"/>
      <c r="O11" s="524"/>
      <c r="P11" s="525"/>
      <c r="Q11" s="525">
        <f t="shared" si="1"/>
        <v>0</v>
      </c>
      <c r="R11" s="525"/>
      <c r="S11" s="526">
        <f t="shared" si="2"/>
        <v>0</v>
      </c>
    </row>
    <row r="12" ht="51.75" customHeight="1">
      <c r="A12" s="493"/>
      <c r="B12" s="511" t="s">
        <v>505</v>
      </c>
      <c r="C12" s="527"/>
      <c r="D12" s="513">
        <v>1.0</v>
      </c>
      <c r="E12" s="305"/>
      <c r="F12" s="515" t="s">
        <v>506</v>
      </c>
      <c r="G12" s="516">
        <v>116.0</v>
      </c>
      <c r="H12" s="517"/>
      <c r="I12" s="518"/>
      <c r="J12" s="519"/>
      <c r="K12" s="520"/>
      <c r="L12" s="521"/>
      <c r="M12" s="522"/>
      <c r="N12" s="523"/>
      <c r="O12" s="524"/>
      <c r="P12" s="525"/>
      <c r="Q12" s="525">
        <f t="shared" si="1"/>
        <v>0</v>
      </c>
      <c r="R12" s="525"/>
      <c r="S12" s="526">
        <f t="shared" si="2"/>
        <v>0</v>
      </c>
    </row>
    <row r="13" ht="51.75" customHeight="1">
      <c r="A13" s="493"/>
      <c r="B13" s="511" t="s">
        <v>507</v>
      </c>
      <c r="C13" s="527"/>
      <c r="D13" s="513">
        <v>1.0</v>
      </c>
      <c r="E13" s="514"/>
      <c r="F13" s="515" t="s">
        <v>508</v>
      </c>
      <c r="G13" s="516">
        <v>116.0</v>
      </c>
      <c r="H13" s="517"/>
      <c r="I13" s="518"/>
      <c r="J13" s="519"/>
      <c r="K13" s="520"/>
      <c r="L13" s="521"/>
      <c r="M13" s="522"/>
      <c r="N13" s="523"/>
      <c r="O13" s="524"/>
      <c r="P13" s="525"/>
      <c r="Q13" s="525">
        <f t="shared" si="1"/>
        <v>0</v>
      </c>
      <c r="R13" s="525"/>
      <c r="S13" s="526">
        <f t="shared" si="2"/>
        <v>0</v>
      </c>
    </row>
    <row r="14" ht="51.75" customHeight="1">
      <c r="A14" s="493"/>
      <c r="B14" s="531" t="s">
        <v>509</v>
      </c>
      <c r="C14" s="532"/>
      <c r="D14" s="513">
        <v>1.0</v>
      </c>
      <c r="E14" s="533"/>
      <c r="F14" s="534" t="s">
        <v>510</v>
      </c>
      <c r="G14" s="516">
        <v>116.0</v>
      </c>
      <c r="H14" s="517"/>
      <c r="I14" s="518"/>
      <c r="J14" s="519"/>
      <c r="K14" s="520"/>
      <c r="L14" s="521"/>
      <c r="M14" s="522"/>
      <c r="N14" s="523"/>
      <c r="O14" s="524"/>
      <c r="P14" s="525"/>
      <c r="Q14" s="525">
        <f t="shared" si="1"/>
        <v>0</v>
      </c>
      <c r="R14" s="525"/>
      <c r="S14" s="526">
        <f t="shared" si="2"/>
        <v>0</v>
      </c>
    </row>
    <row r="15" ht="16.5" customHeight="1">
      <c r="A15" s="493"/>
      <c r="G15" s="1"/>
    </row>
    <row r="16" ht="52.5" customHeight="1">
      <c r="A16" s="493"/>
      <c r="B16" s="535" t="s">
        <v>511</v>
      </c>
      <c r="C16" s="536"/>
      <c r="D16" s="537">
        <f>SUM(D17:D29)</f>
        <v>13</v>
      </c>
      <c r="E16" s="538" t="s">
        <v>512</v>
      </c>
      <c r="F16" s="539"/>
      <c r="G16" s="540">
        <v>2735.0</v>
      </c>
      <c r="H16" s="541"/>
      <c r="I16" s="542"/>
      <c r="J16" s="543"/>
      <c r="K16" s="544"/>
      <c r="L16" s="545"/>
      <c r="M16" s="546"/>
      <c r="N16" s="547"/>
      <c r="O16" s="548"/>
      <c r="P16" s="549"/>
      <c r="Q16" s="549">
        <f>SUM(H16:P16)*D16</f>
        <v>0</v>
      </c>
      <c r="R16" s="549"/>
      <c r="S16" s="550">
        <f>SUM(H16:P16)*G16</f>
        <v>0</v>
      </c>
      <c r="T16" s="493"/>
      <c r="U16" s="493"/>
      <c r="V16" s="493"/>
      <c r="W16" s="493"/>
      <c r="X16" s="493"/>
    </row>
    <row r="17" ht="99.75" customHeight="1">
      <c r="A17" s="493"/>
      <c r="B17" s="551" t="s">
        <v>513</v>
      </c>
      <c r="C17" s="552"/>
      <c r="D17" s="553">
        <v>1.0</v>
      </c>
      <c r="E17" s="553" t="s">
        <v>514</v>
      </c>
      <c r="F17" s="554" t="s">
        <v>515</v>
      </c>
      <c r="G17" s="555">
        <v>170.0</v>
      </c>
      <c r="H17" s="556"/>
      <c r="I17" s="557"/>
      <c r="J17" s="558"/>
      <c r="K17" s="559"/>
      <c r="L17" s="560"/>
      <c r="M17" s="561"/>
      <c r="N17" s="562"/>
      <c r="O17" s="563"/>
      <c r="P17" s="553"/>
      <c r="Q17" s="553">
        <f t="shared" ref="Q17:Q29" si="3">SUM(H17:P17)</f>
        <v>0</v>
      </c>
      <c r="R17" s="553"/>
      <c r="S17" s="564">
        <f t="shared" ref="S17:S29" si="4">Q17*G17</f>
        <v>0</v>
      </c>
    </row>
    <row r="18" ht="99.75" customHeight="1">
      <c r="A18" s="493"/>
      <c r="B18" s="551" t="s">
        <v>516</v>
      </c>
      <c r="C18" s="80"/>
      <c r="D18" s="525">
        <v>1.0</v>
      </c>
      <c r="E18" s="525" t="s">
        <v>517</v>
      </c>
      <c r="F18" s="45" t="s">
        <v>518</v>
      </c>
      <c r="G18" s="565">
        <v>174.0</v>
      </c>
      <c r="H18" s="517"/>
      <c r="I18" s="518"/>
      <c r="J18" s="519"/>
      <c r="K18" s="520"/>
      <c r="L18" s="521"/>
      <c r="M18" s="522"/>
      <c r="N18" s="523"/>
      <c r="O18" s="524"/>
      <c r="P18" s="525"/>
      <c r="Q18" s="525">
        <f t="shared" si="3"/>
        <v>0</v>
      </c>
      <c r="R18" s="525"/>
      <c r="S18" s="566">
        <f t="shared" si="4"/>
        <v>0</v>
      </c>
    </row>
    <row r="19" ht="99.75" customHeight="1">
      <c r="A19" s="493"/>
      <c r="B19" s="551" t="s">
        <v>519</v>
      </c>
      <c r="C19" s="80"/>
      <c r="D19" s="525">
        <v>1.0</v>
      </c>
      <c r="E19" s="525" t="s">
        <v>520</v>
      </c>
      <c r="F19" s="45" t="s">
        <v>521</v>
      </c>
      <c r="G19" s="565">
        <v>287.0</v>
      </c>
      <c r="H19" s="517"/>
      <c r="I19" s="518"/>
      <c r="J19" s="519"/>
      <c r="K19" s="520"/>
      <c r="L19" s="521"/>
      <c r="M19" s="522"/>
      <c r="N19" s="523"/>
      <c r="O19" s="524"/>
      <c r="P19" s="525"/>
      <c r="Q19" s="525">
        <f t="shared" si="3"/>
        <v>0</v>
      </c>
      <c r="R19" s="525"/>
      <c r="S19" s="566">
        <f t="shared" si="4"/>
        <v>0</v>
      </c>
    </row>
    <row r="20" ht="99.75" customHeight="1">
      <c r="A20" s="493"/>
      <c r="B20" s="551" t="s">
        <v>522</v>
      </c>
      <c r="C20" s="80"/>
      <c r="D20" s="525">
        <v>1.0</v>
      </c>
      <c r="E20" s="525" t="s">
        <v>523</v>
      </c>
      <c r="F20" s="45" t="s">
        <v>524</v>
      </c>
      <c r="G20" s="565">
        <v>236.0</v>
      </c>
      <c r="H20" s="517"/>
      <c r="I20" s="518"/>
      <c r="J20" s="519"/>
      <c r="K20" s="520"/>
      <c r="L20" s="521"/>
      <c r="M20" s="522"/>
      <c r="N20" s="523"/>
      <c r="O20" s="524"/>
      <c r="P20" s="525"/>
      <c r="Q20" s="525">
        <f t="shared" si="3"/>
        <v>0</v>
      </c>
      <c r="R20" s="525"/>
      <c r="S20" s="566">
        <f t="shared" si="4"/>
        <v>0</v>
      </c>
    </row>
    <row r="21" ht="99.75" customHeight="1">
      <c r="A21" s="493"/>
      <c r="B21" s="551" t="s">
        <v>525</v>
      </c>
      <c r="C21" s="80"/>
      <c r="D21" s="525">
        <v>1.0</v>
      </c>
      <c r="E21" s="525" t="s">
        <v>526</v>
      </c>
      <c r="F21" s="45" t="s">
        <v>527</v>
      </c>
      <c r="G21" s="565">
        <v>286.0</v>
      </c>
      <c r="H21" s="517"/>
      <c r="I21" s="518"/>
      <c r="J21" s="519"/>
      <c r="K21" s="520"/>
      <c r="L21" s="521"/>
      <c r="M21" s="522"/>
      <c r="N21" s="523"/>
      <c r="O21" s="524"/>
      <c r="P21" s="525"/>
      <c r="Q21" s="525">
        <f t="shared" si="3"/>
        <v>0</v>
      </c>
      <c r="R21" s="525"/>
      <c r="S21" s="566">
        <f t="shared" si="4"/>
        <v>0</v>
      </c>
    </row>
    <row r="22" ht="99.75" customHeight="1">
      <c r="A22" s="493"/>
      <c r="B22" s="551" t="s">
        <v>528</v>
      </c>
      <c r="C22" s="567"/>
      <c r="D22" s="525">
        <v>1.0</v>
      </c>
      <c r="E22" s="525" t="s">
        <v>529</v>
      </c>
      <c r="F22" s="45" t="s">
        <v>530</v>
      </c>
      <c r="G22" s="565">
        <v>276.0</v>
      </c>
      <c r="H22" s="517"/>
      <c r="I22" s="518"/>
      <c r="J22" s="519"/>
      <c r="K22" s="520"/>
      <c r="L22" s="521"/>
      <c r="M22" s="522"/>
      <c r="N22" s="523"/>
      <c r="O22" s="524"/>
      <c r="P22" s="525"/>
      <c r="Q22" s="525">
        <f t="shared" si="3"/>
        <v>0</v>
      </c>
      <c r="R22" s="525"/>
      <c r="S22" s="566">
        <f t="shared" si="4"/>
        <v>0</v>
      </c>
    </row>
    <row r="23" ht="99.75" customHeight="1">
      <c r="A23" s="493"/>
      <c r="B23" s="551" t="s">
        <v>531</v>
      </c>
      <c r="C23" s="567"/>
      <c r="D23" s="525">
        <v>1.0</v>
      </c>
      <c r="E23" s="525" t="s">
        <v>532</v>
      </c>
      <c r="F23" s="45" t="s">
        <v>533</v>
      </c>
      <c r="G23" s="516">
        <v>249.0</v>
      </c>
      <c r="H23" s="517"/>
      <c r="I23" s="518"/>
      <c r="J23" s="519"/>
      <c r="K23" s="520"/>
      <c r="L23" s="521"/>
      <c r="M23" s="522"/>
      <c r="N23" s="523"/>
      <c r="O23" s="524"/>
      <c r="P23" s="525"/>
      <c r="Q23" s="525">
        <f t="shared" si="3"/>
        <v>0</v>
      </c>
      <c r="R23" s="525"/>
      <c r="S23" s="566">
        <f t="shared" si="4"/>
        <v>0</v>
      </c>
    </row>
    <row r="24" ht="99.75" customHeight="1">
      <c r="A24" s="493"/>
      <c r="B24" s="551" t="s">
        <v>534</v>
      </c>
      <c r="C24" s="80"/>
      <c r="D24" s="525">
        <v>1.0</v>
      </c>
      <c r="E24" s="525" t="s">
        <v>535</v>
      </c>
      <c r="F24" s="45" t="s">
        <v>536</v>
      </c>
      <c r="G24" s="565">
        <v>179.0</v>
      </c>
      <c r="H24" s="517"/>
      <c r="I24" s="518"/>
      <c r="J24" s="519"/>
      <c r="K24" s="520"/>
      <c r="L24" s="521"/>
      <c r="M24" s="522"/>
      <c r="N24" s="523"/>
      <c r="O24" s="524"/>
      <c r="P24" s="525"/>
      <c r="Q24" s="525">
        <f t="shared" si="3"/>
        <v>0</v>
      </c>
      <c r="R24" s="525"/>
      <c r="S24" s="566">
        <f t="shared" si="4"/>
        <v>0</v>
      </c>
    </row>
    <row r="25" ht="99.75" customHeight="1">
      <c r="A25" s="493"/>
      <c r="B25" s="551" t="s">
        <v>537</v>
      </c>
      <c r="C25" s="80"/>
      <c r="D25" s="525">
        <v>1.0</v>
      </c>
      <c r="E25" s="525" t="s">
        <v>538</v>
      </c>
      <c r="F25" s="45" t="s">
        <v>539</v>
      </c>
      <c r="G25" s="565">
        <v>174.0</v>
      </c>
      <c r="H25" s="517"/>
      <c r="I25" s="518"/>
      <c r="J25" s="519"/>
      <c r="K25" s="520"/>
      <c r="L25" s="521"/>
      <c r="M25" s="522"/>
      <c r="N25" s="523"/>
      <c r="O25" s="524"/>
      <c r="P25" s="525"/>
      <c r="Q25" s="525">
        <f t="shared" si="3"/>
        <v>0</v>
      </c>
      <c r="R25" s="525"/>
      <c r="S25" s="566">
        <f t="shared" si="4"/>
        <v>0</v>
      </c>
    </row>
    <row r="26" ht="99.75" customHeight="1">
      <c r="A26" s="493"/>
      <c r="B26" s="551" t="s">
        <v>540</v>
      </c>
      <c r="C26" s="80"/>
      <c r="D26" s="525">
        <v>1.0</v>
      </c>
      <c r="E26" s="525" t="s">
        <v>541</v>
      </c>
      <c r="F26" s="45" t="s">
        <v>542</v>
      </c>
      <c r="G26" s="565">
        <v>286.0</v>
      </c>
      <c r="H26" s="517"/>
      <c r="I26" s="518"/>
      <c r="J26" s="519"/>
      <c r="K26" s="520"/>
      <c r="L26" s="521"/>
      <c r="M26" s="522"/>
      <c r="N26" s="523"/>
      <c r="O26" s="524"/>
      <c r="P26" s="303"/>
      <c r="Q26" s="525">
        <f t="shared" si="3"/>
        <v>0</v>
      </c>
      <c r="R26" s="525"/>
      <c r="S26" s="566">
        <f t="shared" si="4"/>
        <v>0</v>
      </c>
    </row>
    <row r="27" ht="99.75" customHeight="1">
      <c r="A27" s="493"/>
      <c r="B27" s="551" t="s">
        <v>543</v>
      </c>
      <c r="C27" s="80"/>
      <c r="D27" s="525">
        <v>1.0</v>
      </c>
      <c r="E27" s="525" t="s">
        <v>544</v>
      </c>
      <c r="F27" s="45" t="s">
        <v>545</v>
      </c>
      <c r="G27" s="565">
        <v>169.0</v>
      </c>
      <c r="H27" s="517"/>
      <c r="I27" s="518"/>
      <c r="J27" s="519"/>
      <c r="K27" s="520"/>
      <c r="L27" s="521"/>
      <c r="M27" s="522"/>
      <c r="N27" s="523"/>
      <c r="O27" s="524"/>
      <c r="P27" s="525"/>
      <c r="Q27" s="525">
        <f t="shared" si="3"/>
        <v>0</v>
      </c>
      <c r="R27" s="525"/>
      <c r="S27" s="566">
        <f t="shared" si="4"/>
        <v>0</v>
      </c>
    </row>
    <row r="28" ht="99.75" customHeight="1">
      <c r="A28" s="493"/>
      <c r="B28" s="551" t="s">
        <v>546</v>
      </c>
      <c r="C28" s="567"/>
      <c r="D28" s="525">
        <v>1.0</v>
      </c>
      <c r="E28" s="525" t="s">
        <v>547</v>
      </c>
      <c r="F28" s="45" t="s">
        <v>548</v>
      </c>
      <c r="G28" s="565">
        <v>276.0</v>
      </c>
      <c r="H28" s="517"/>
      <c r="I28" s="518"/>
      <c r="J28" s="519"/>
      <c r="K28" s="520"/>
      <c r="L28" s="521"/>
      <c r="M28" s="522"/>
      <c r="N28" s="523"/>
      <c r="O28" s="524"/>
      <c r="P28" s="525"/>
      <c r="Q28" s="525">
        <f t="shared" si="3"/>
        <v>0</v>
      </c>
      <c r="R28" s="525"/>
      <c r="S28" s="566">
        <f t="shared" si="4"/>
        <v>0</v>
      </c>
    </row>
    <row r="29" ht="99.75" customHeight="1">
      <c r="A29" s="493"/>
      <c r="B29" s="551" t="s">
        <v>549</v>
      </c>
      <c r="C29" s="567"/>
      <c r="D29" s="525">
        <v>1.0</v>
      </c>
      <c r="E29" s="525" t="s">
        <v>547</v>
      </c>
      <c r="F29" s="45" t="s">
        <v>550</v>
      </c>
      <c r="G29" s="565">
        <v>276.0</v>
      </c>
      <c r="H29" s="517"/>
      <c r="I29" s="518"/>
      <c r="J29" s="519"/>
      <c r="K29" s="520"/>
      <c r="L29" s="521"/>
      <c r="M29" s="522"/>
      <c r="N29" s="523"/>
      <c r="O29" s="524"/>
      <c r="P29" s="525"/>
      <c r="Q29" s="525">
        <f t="shared" si="3"/>
        <v>0</v>
      </c>
      <c r="R29" s="525"/>
      <c r="S29" s="566">
        <f t="shared" si="4"/>
        <v>0</v>
      </c>
    </row>
    <row r="30" ht="28.5" customHeight="1">
      <c r="A30" s="493"/>
      <c r="G30" s="1"/>
    </row>
    <row r="31" ht="58.5" customHeight="1">
      <c r="A31" s="493"/>
      <c r="B31" s="568" t="s">
        <v>551</v>
      </c>
      <c r="C31" s="536"/>
      <c r="D31" s="537">
        <v>18.0</v>
      </c>
      <c r="E31" s="538" t="s">
        <v>552</v>
      </c>
      <c r="F31" s="539"/>
      <c r="G31" s="569">
        <v>3003.0</v>
      </c>
      <c r="H31" s="541"/>
      <c r="I31" s="542"/>
      <c r="J31" s="543"/>
      <c r="K31" s="570"/>
      <c r="L31" s="545"/>
      <c r="M31" s="546"/>
      <c r="N31" s="547"/>
      <c r="O31" s="548"/>
      <c r="P31" s="549"/>
      <c r="Q31" s="549">
        <f>SUM(H31:P31)*D31</f>
        <v>0</v>
      </c>
      <c r="R31" s="571"/>
      <c r="S31" s="550">
        <f>SUM(H31:P31)*G31</f>
        <v>0</v>
      </c>
    </row>
    <row r="32" ht="73.5" customHeight="1">
      <c r="A32" s="493"/>
      <c r="B32" s="572" t="s">
        <v>553</v>
      </c>
      <c r="C32" s="573"/>
      <c r="D32" s="553">
        <v>1.0</v>
      </c>
      <c r="E32" s="553" t="s">
        <v>554</v>
      </c>
      <c r="F32" s="554" t="s">
        <v>555</v>
      </c>
      <c r="G32" s="565">
        <v>160.0</v>
      </c>
      <c r="H32" s="556"/>
      <c r="I32" s="557"/>
      <c r="J32" s="558"/>
      <c r="K32" s="559"/>
      <c r="L32" s="560"/>
      <c r="M32" s="561"/>
      <c r="N32" s="562"/>
      <c r="O32" s="563"/>
      <c r="P32" s="553"/>
      <c r="Q32" s="553">
        <f t="shared" ref="Q32:Q49" si="5">SUM(H32:P32)</f>
        <v>0</v>
      </c>
      <c r="R32" s="553"/>
      <c r="S32" s="564">
        <f t="shared" ref="S32:S49" si="6">Q32*G32</f>
        <v>0</v>
      </c>
    </row>
    <row r="33" ht="73.5" customHeight="1">
      <c r="A33" s="493"/>
      <c r="B33" s="572" t="s">
        <v>556</v>
      </c>
      <c r="C33" s="567"/>
      <c r="D33" s="525">
        <v>1.0</v>
      </c>
      <c r="E33" s="525" t="s">
        <v>557</v>
      </c>
      <c r="F33" s="45" t="s">
        <v>558</v>
      </c>
      <c r="G33" s="565">
        <v>166.0</v>
      </c>
      <c r="H33" s="517"/>
      <c r="I33" s="518"/>
      <c r="J33" s="519"/>
      <c r="K33" s="520"/>
      <c r="L33" s="521"/>
      <c r="M33" s="522"/>
      <c r="N33" s="523"/>
      <c r="O33" s="524"/>
      <c r="P33" s="525"/>
      <c r="Q33" s="525">
        <f t="shared" si="5"/>
        <v>0</v>
      </c>
      <c r="R33" s="525"/>
      <c r="S33" s="566">
        <f t="shared" si="6"/>
        <v>0</v>
      </c>
    </row>
    <row r="34" ht="73.5" customHeight="1">
      <c r="A34" s="493"/>
      <c r="B34" s="572" t="s">
        <v>559</v>
      </c>
      <c r="C34" s="567"/>
      <c r="D34" s="525">
        <v>1.0</v>
      </c>
      <c r="E34" s="525" t="s">
        <v>560</v>
      </c>
      <c r="F34" s="45" t="s">
        <v>561</v>
      </c>
      <c r="G34" s="565">
        <v>172.0</v>
      </c>
      <c r="H34" s="517"/>
      <c r="I34" s="518"/>
      <c r="J34" s="519"/>
      <c r="K34" s="520"/>
      <c r="L34" s="521"/>
      <c r="M34" s="522"/>
      <c r="N34" s="523"/>
      <c r="O34" s="524"/>
      <c r="P34" s="525"/>
      <c r="Q34" s="525">
        <f t="shared" si="5"/>
        <v>0</v>
      </c>
      <c r="R34" s="525"/>
      <c r="S34" s="566">
        <f t="shared" si="6"/>
        <v>0</v>
      </c>
    </row>
    <row r="35" ht="73.5" customHeight="1">
      <c r="A35" s="493"/>
      <c r="B35" s="572" t="s">
        <v>562</v>
      </c>
      <c r="C35" s="567"/>
      <c r="D35" s="525">
        <v>1.0</v>
      </c>
      <c r="E35" s="525" t="s">
        <v>563</v>
      </c>
      <c r="F35" s="45" t="s">
        <v>564</v>
      </c>
      <c r="G35" s="565">
        <v>208.0</v>
      </c>
      <c r="H35" s="517"/>
      <c r="I35" s="518"/>
      <c r="J35" s="519"/>
      <c r="K35" s="520"/>
      <c r="L35" s="521"/>
      <c r="M35" s="522"/>
      <c r="N35" s="523"/>
      <c r="O35" s="524"/>
      <c r="P35" s="525"/>
      <c r="Q35" s="525">
        <f t="shared" si="5"/>
        <v>0</v>
      </c>
      <c r="R35" s="525"/>
      <c r="S35" s="566">
        <f t="shared" si="6"/>
        <v>0</v>
      </c>
    </row>
    <row r="36" ht="73.5" customHeight="1">
      <c r="A36" s="493"/>
      <c r="B36" s="572" t="s">
        <v>565</v>
      </c>
      <c r="C36" s="567"/>
      <c r="D36" s="525">
        <v>1.0</v>
      </c>
      <c r="E36" s="525" t="s">
        <v>566</v>
      </c>
      <c r="F36" s="45" t="s">
        <v>567</v>
      </c>
      <c r="G36" s="565">
        <v>216.0</v>
      </c>
      <c r="H36" s="517"/>
      <c r="I36" s="518"/>
      <c r="J36" s="519"/>
      <c r="K36" s="520"/>
      <c r="L36" s="521"/>
      <c r="M36" s="522"/>
      <c r="N36" s="523"/>
      <c r="O36" s="524"/>
      <c r="P36" s="525"/>
      <c r="Q36" s="525">
        <f t="shared" si="5"/>
        <v>0</v>
      </c>
      <c r="R36" s="525"/>
      <c r="S36" s="566">
        <f t="shared" si="6"/>
        <v>0</v>
      </c>
    </row>
    <row r="37" ht="73.5" customHeight="1">
      <c r="A37" s="493"/>
      <c r="B37" s="572" t="s">
        <v>568</v>
      </c>
      <c r="C37" s="567"/>
      <c r="D37" s="525">
        <v>1.0</v>
      </c>
      <c r="E37" s="525" t="s">
        <v>569</v>
      </c>
      <c r="F37" s="45" t="s">
        <v>570</v>
      </c>
      <c r="G37" s="565">
        <v>216.0</v>
      </c>
      <c r="H37" s="517"/>
      <c r="I37" s="518"/>
      <c r="J37" s="519"/>
      <c r="K37" s="520"/>
      <c r="L37" s="521"/>
      <c r="M37" s="522"/>
      <c r="N37" s="523"/>
      <c r="O37" s="524"/>
      <c r="P37" s="525"/>
      <c r="Q37" s="525">
        <f t="shared" si="5"/>
        <v>0</v>
      </c>
      <c r="R37" s="525"/>
      <c r="S37" s="566">
        <f t="shared" si="6"/>
        <v>0</v>
      </c>
    </row>
    <row r="38" ht="73.5" customHeight="1">
      <c r="A38" s="493"/>
      <c r="B38" s="572" t="s">
        <v>571</v>
      </c>
      <c r="C38" s="567"/>
      <c r="D38" s="525">
        <v>1.0</v>
      </c>
      <c r="E38" s="525" t="s">
        <v>572</v>
      </c>
      <c r="F38" s="45" t="s">
        <v>573</v>
      </c>
      <c r="G38" s="565">
        <v>232.0</v>
      </c>
      <c r="H38" s="517"/>
      <c r="I38" s="518"/>
      <c r="J38" s="519"/>
      <c r="K38" s="520"/>
      <c r="L38" s="521"/>
      <c r="M38" s="522"/>
      <c r="N38" s="523"/>
      <c r="O38" s="524"/>
      <c r="P38" s="525"/>
      <c r="Q38" s="525">
        <f t="shared" si="5"/>
        <v>0</v>
      </c>
      <c r="R38" s="525"/>
      <c r="S38" s="566">
        <f t="shared" si="6"/>
        <v>0</v>
      </c>
    </row>
    <row r="39" ht="73.5" customHeight="1">
      <c r="A39" s="493"/>
      <c r="B39" s="572" t="s">
        <v>574</v>
      </c>
      <c r="C39" s="567"/>
      <c r="D39" s="525">
        <v>1.0</v>
      </c>
      <c r="E39" s="525" t="s">
        <v>575</v>
      </c>
      <c r="F39" s="45" t="s">
        <v>576</v>
      </c>
      <c r="G39" s="565">
        <v>153.0</v>
      </c>
      <c r="H39" s="517"/>
      <c r="I39" s="518"/>
      <c r="J39" s="519"/>
      <c r="K39" s="520"/>
      <c r="L39" s="521"/>
      <c r="M39" s="522"/>
      <c r="N39" s="523"/>
      <c r="O39" s="524"/>
      <c r="P39" s="525"/>
      <c r="Q39" s="525">
        <f t="shared" si="5"/>
        <v>0</v>
      </c>
      <c r="R39" s="525"/>
      <c r="S39" s="566">
        <f t="shared" si="6"/>
        <v>0</v>
      </c>
    </row>
    <row r="40" ht="73.5" customHeight="1">
      <c r="A40" s="493"/>
      <c r="B40" s="572" t="s">
        <v>577</v>
      </c>
      <c r="C40" s="567"/>
      <c r="D40" s="525">
        <v>1.0</v>
      </c>
      <c r="E40" s="525" t="s">
        <v>575</v>
      </c>
      <c r="F40" s="45" t="s">
        <v>578</v>
      </c>
      <c r="G40" s="565">
        <v>153.0</v>
      </c>
      <c r="H40" s="517"/>
      <c r="I40" s="518"/>
      <c r="J40" s="519"/>
      <c r="K40" s="520"/>
      <c r="L40" s="521"/>
      <c r="M40" s="522"/>
      <c r="N40" s="523"/>
      <c r="O40" s="524"/>
      <c r="P40" s="525"/>
      <c r="Q40" s="525">
        <f t="shared" si="5"/>
        <v>0</v>
      </c>
      <c r="R40" s="525"/>
      <c r="S40" s="566">
        <f t="shared" si="6"/>
        <v>0</v>
      </c>
    </row>
    <row r="41" ht="73.5" customHeight="1">
      <c r="A41" s="493"/>
      <c r="B41" s="572" t="s">
        <v>579</v>
      </c>
      <c r="C41" s="567"/>
      <c r="D41" s="525">
        <v>1.0</v>
      </c>
      <c r="E41" s="525" t="s">
        <v>575</v>
      </c>
      <c r="F41" s="45" t="s">
        <v>580</v>
      </c>
      <c r="G41" s="565">
        <v>153.0</v>
      </c>
      <c r="H41" s="517"/>
      <c r="I41" s="518"/>
      <c r="J41" s="519"/>
      <c r="K41" s="520"/>
      <c r="L41" s="521"/>
      <c r="M41" s="522"/>
      <c r="N41" s="523"/>
      <c r="O41" s="524"/>
      <c r="P41" s="525"/>
      <c r="Q41" s="525">
        <f t="shared" si="5"/>
        <v>0</v>
      </c>
      <c r="R41" s="525"/>
      <c r="S41" s="566">
        <f t="shared" si="6"/>
        <v>0</v>
      </c>
    </row>
    <row r="42" ht="73.5" customHeight="1">
      <c r="A42" s="493"/>
      <c r="B42" s="572" t="s">
        <v>581</v>
      </c>
      <c r="C42" s="567"/>
      <c r="D42" s="525">
        <v>1.0</v>
      </c>
      <c r="E42" s="525" t="s">
        <v>575</v>
      </c>
      <c r="F42" s="45" t="s">
        <v>582</v>
      </c>
      <c r="G42" s="565">
        <v>153.0</v>
      </c>
      <c r="H42" s="517"/>
      <c r="I42" s="518"/>
      <c r="J42" s="519"/>
      <c r="K42" s="520"/>
      <c r="L42" s="521"/>
      <c r="M42" s="522"/>
      <c r="N42" s="523"/>
      <c r="O42" s="524"/>
      <c r="P42" s="525"/>
      <c r="Q42" s="525">
        <f t="shared" si="5"/>
        <v>0</v>
      </c>
      <c r="R42" s="525"/>
      <c r="S42" s="566">
        <f t="shared" si="6"/>
        <v>0</v>
      </c>
    </row>
    <row r="43" ht="73.5" customHeight="1">
      <c r="A43" s="493"/>
      <c r="B43" s="572" t="s">
        <v>583</v>
      </c>
      <c r="C43" s="567"/>
      <c r="D43" s="525">
        <v>1.0</v>
      </c>
      <c r="E43" s="525" t="s">
        <v>584</v>
      </c>
      <c r="F43" s="45" t="s">
        <v>585</v>
      </c>
      <c r="G43" s="565">
        <v>171.0</v>
      </c>
      <c r="H43" s="517"/>
      <c r="I43" s="518"/>
      <c r="J43" s="519"/>
      <c r="K43" s="520"/>
      <c r="L43" s="521"/>
      <c r="M43" s="522"/>
      <c r="N43" s="523"/>
      <c r="O43" s="524"/>
      <c r="P43" s="525"/>
      <c r="Q43" s="525">
        <f t="shared" si="5"/>
        <v>0</v>
      </c>
      <c r="R43" s="525"/>
      <c r="S43" s="566">
        <f t="shared" si="6"/>
        <v>0</v>
      </c>
    </row>
    <row r="44" ht="73.5" customHeight="1">
      <c r="A44" s="493"/>
      <c r="B44" s="572" t="s">
        <v>586</v>
      </c>
      <c r="C44" s="567"/>
      <c r="D44" s="525">
        <v>1.0</v>
      </c>
      <c r="E44" s="525" t="s">
        <v>587</v>
      </c>
      <c r="F44" s="45" t="s">
        <v>588</v>
      </c>
      <c r="G44" s="565">
        <v>176.0</v>
      </c>
      <c r="H44" s="517"/>
      <c r="I44" s="518"/>
      <c r="J44" s="519"/>
      <c r="K44" s="520"/>
      <c r="L44" s="521"/>
      <c r="M44" s="522"/>
      <c r="N44" s="523"/>
      <c r="O44" s="524"/>
      <c r="P44" s="525"/>
      <c r="Q44" s="525">
        <f t="shared" si="5"/>
        <v>0</v>
      </c>
      <c r="R44" s="525"/>
      <c r="S44" s="566">
        <f t="shared" si="6"/>
        <v>0</v>
      </c>
    </row>
    <row r="45" ht="73.5" customHeight="1">
      <c r="A45" s="493"/>
      <c r="B45" s="572" t="s">
        <v>589</v>
      </c>
      <c r="C45" s="567"/>
      <c r="D45" s="525">
        <v>1.0</v>
      </c>
      <c r="E45" s="525" t="s">
        <v>590</v>
      </c>
      <c r="F45" s="45" t="s">
        <v>591</v>
      </c>
      <c r="G45" s="565">
        <v>200.0</v>
      </c>
      <c r="H45" s="517"/>
      <c r="I45" s="518"/>
      <c r="J45" s="519"/>
      <c r="K45" s="520"/>
      <c r="L45" s="521"/>
      <c r="M45" s="522"/>
      <c r="N45" s="523"/>
      <c r="O45" s="524"/>
      <c r="P45" s="525"/>
      <c r="Q45" s="525">
        <f t="shared" si="5"/>
        <v>0</v>
      </c>
      <c r="R45" s="525"/>
      <c r="S45" s="566">
        <f t="shared" si="6"/>
        <v>0</v>
      </c>
    </row>
    <row r="46" ht="73.5" customHeight="1">
      <c r="A46" s="493"/>
      <c r="B46" s="572" t="s">
        <v>592</v>
      </c>
      <c r="C46" s="567"/>
      <c r="D46" s="525">
        <v>1.0</v>
      </c>
      <c r="E46" s="525" t="s">
        <v>593</v>
      </c>
      <c r="F46" s="45" t="s">
        <v>594</v>
      </c>
      <c r="G46" s="565">
        <v>200.0</v>
      </c>
      <c r="H46" s="517"/>
      <c r="I46" s="518"/>
      <c r="J46" s="519"/>
      <c r="K46" s="520"/>
      <c r="L46" s="521"/>
      <c r="M46" s="522"/>
      <c r="N46" s="523"/>
      <c r="O46" s="524"/>
      <c r="P46" s="525"/>
      <c r="Q46" s="525">
        <f t="shared" si="5"/>
        <v>0</v>
      </c>
      <c r="R46" s="525"/>
      <c r="S46" s="566">
        <f t="shared" si="6"/>
        <v>0</v>
      </c>
    </row>
    <row r="47" ht="73.5" customHeight="1">
      <c r="A47" s="493"/>
      <c r="B47" s="572" t="s">
        <v>595</v>
      </c>
      <c r="C47" s="567"/>
      <c r="D47" s="525">
        <v>1.0</v>
      </c>
      <c r="E47" s="525" t="s">
        <v>596</v>
      </c>
      <c r="F47" s="45" t="s">
        <v>597</v>
      </c>
      <c r="G47" s="565">
        <v>222.0</v>
      </c>
      <c r="H47" s="517"/>
      <c r="I47" s="518"/>
      <c r="J47" s="519"/>
      <c r="K47" s="520"/>
      <c r="L47" s="521"/>
      <c r="M47" s="522"/>
      <c r="N47" s="523"/>
      <c r="O47" s="524"/>
      <c r="P47" s="525"/>
      <c r="Q47" s="525">
        <f t="shared" si="5"/>
        <v>0</v>
      </c>
      <c r="R47" s="525"/>
      <c r="S47" s="566">
        <f t="shared" si="6"/>
        <v>0</v>
      </c>
    </row>
    <row r="48" ht="73.5" customHeight="1">
      <c r="A48" s="493"/>
      <c r="B48" s="572" t="s">
        <v>598</v>
      </c>
      <c r="C48" s="567"/>
      <c r="D48" s="525">
        <v>1.0</v>
      </c>
      <c r="E48" s="525" t="s">
        <v>599</v>
      </c>
      <c r="F48" s="45" t="s">
        <v>600</v>
      </c>
      <c r="G48" s="565">
        <v>228.0</v>
      </c>
      <c r="H48" s="517"/>
      <c r="I48" s="518"/>
      <c r="J48" s="519"/>
      <c r="K48" s="520"/>
      <c r="L48" s="521"/>
      <c r="M48" s="522"/>
      <c r="N48" s="523"/>
      <c r="O48" s="524"/>
      <c r="P48" s="525"/>
      <c r="Q48" s="525">
        <f t="shared" si="5"/>
        <v>0</v>
      </c>
      <c r="R48" s="525"/>
      <c r="S48" s="566">
        <f t="shared" si="6"/>
        <v>0</v>
      </c>
    </row>
    <row r="49" ht="73.5" customHeight="1">
      <c r="A49" s="493"/>
      <c r="B49" s="572" t="s">
        <v>601</v>
      </c>
      <c r="C49" s="567"/>
      <c r="D49" s="525">
        <v>1.0</v>
      </c>
      <c r="E49" s="525" t="s">
        <v>602</v>
      </c>
      <c r="F49" s="45" t="s">
        <v>603</v>
      </c>
      <c r="G49" s="565">
        <v>234.0</v>
      </c>
      <c r="H49" s="517"/>
      <c r="I49" s="518"/>
      <c r="J49" s="519"/>
      <c r="K49" s="574"/>
      <c r="L49" s="521"/>
      <c r="M49" s="575"/>
      <c r="N49" s="576"/>
      <c r="O49" s="524"/>
      <c r="P49" s="525"/>
      <c r="Q49" s="525">
        <f t="shared" si="5"/>
        <v>0</v>
      </c>
      <c r="R49" s="525"/>
      <c r="S49" s="566">
        <f t="shared" si="6"/>
        <v>0</v>
      </c>
    </row>
    <row r="50" ht="21.0" customHeight="1">
      <c r="A50" s="493"/>
    </row>
    <row r="51" ht="12.0" customHeight="1">
      <c r="A51" s="493"/>
      <c r="G51" s="1"/>
    </row>
    <row r="52" ht="12.75" customHeight="1">
      <c r="A52" s="493"/>
      <c r="G52" s="1"/>
    </row>
    <row r="53" ht="54.75" customHeight="1">
      <c r="A53" s="493"/>
      <c r="B53" s="577" t="s">
        <v>604</v>
      </c>
      <c r="C53" s="536"/>
      <c r="D53" s="571">
        <f>SUM(D54:D68)</f>
        <v>15</v>
      </c>
      <c r="E53" s="578" t="s">
        <v>512</v>
      </c>
      <c r="F53" s="539"/>
      <c r="G53" s="569">
        <v>1863.0</v>
      </c>
      <c r="H53" s="579"/>
      <c r="I53" s="580"/>
      <c r="J53" s="581"/>
      <c r="K53" s="582"/>
      <c r="L53" s="583"/>
      <c r="M53" s="584"/>
      <c r="N53" s="585"/>
      <c r="O53" s="586"/>
      <c r="P53" s="571"/>
      <c r="Q53" s="549">
        <f>SUM(H53:P53)*D53</f>
        <v>0</v>
      </c>
      <c r="R53" s="571"/>
      <c r="S53" s="550">
        <f>SUM(H53:P53)*G53</f>
        <v>0</v>
      </c>
    </row>
    <row r="54" ht="68.25" customHeight="1">
      <c r="A54" s="493"/>
      <c r="B54" s="587" t="s">
        <v>605</v>
      </c>
      <c r="C54" s="573"/>
      <c r="D54" s="588">
        <v>1.0</v>
      </c>
      <c r="E54" s="589" t="s">
        <v>606</v>
      </c>
      <c r="F54" s="590" t="s">
        <v>607</v>
      </c>
      <c r="G54" s="591">
        <v>138.0</v>
      </c>
      <c r="H54" s="556"/>
      <c r="I54" s="557"/>
      <c r="J54" s="558"/>
      <c r="K54" s="592"/>
      <c r="L54" s="560"/>
      <c r="M54" s="593"/>
      <c r="N54" s="562"/>
      <c r="O54" s="563"/>
      <c r="P54" s="553"/>
      <c r="Q54" s="553">
        <f t="shared" ref="Q54:Q68" si="7">SUM(H54:P54)</f>
        <v>0</v>
      </c>
      <c r="R54" s="553"/>
      <c r="S54" s="564">
        <f t="shared" ref="S54:S68" si="8">Q54*G54</f>
        <v>0</v>
      </c>
    </row>
    <row r="55" ht="68.25" customHeight="1">
      <c r="A55" s="493"/>
      <c r="B55" s="587" t="s">
        <v>608</v>
      </c>
      <c r="C55" s="573"/>
      <c r="D55" s="588">
        <v>1.0</v>
      </c>
      <c r="E55" s="589" t="s">
        <v>609</v>
      </c>
      <c r="F55" s="590" t="s">
        <v>610</v>
      </c>
      <c r="G55" s="591">
        <v>138.0</v>
      </c>
      <c r="H55" s="556"/>
      <c r="I55" s="557"/>
      <c r="J55" s="558"/>
      <c r="K55" s="559"/>
      <c r="L55" s="560"/>
      <c r="M55" s="561"/>
      <c r="N55" s="562"/>
      <c r="O55" s="563"/>
      <c r="P55" s="553"/>
      <c r="Q55" s="553">
        <f t="shared" si="7"/>
        <v>0</v>
      </c>
      <c r="R55" s="553"/>
      <c r="S55" s="564">
        <f t="shared" si="8"/>
        <v>0</v>
      </c>
    </row>
    <row r="56" ht="68.25" customHeight="1">
      <c r="A56" s="493"/>
      <c r="B56" s="587" t="s">
        <v>611</v>
      </c>
      <c r="C56" s="567"/>
      <c r="D56" s="513">
        <v>1.0</v>
      </c>
      <c r="E56" s="514" t="s">
        <v>612</v>
      </c>
      <c r="F56" s="515" t="s">
        <v>613</v>
      </c>
      <c r="G56" s="591">
        <v>138.0</v>
      </c>
      <c r="H56" s="556"/>
      <c r="I56" s="557"/>
      <c r="J56" s="558"/>
      <c r="K56" s="559"/>
      <c r="L56" s="560"/>
      <c r="M56" s="561"/>
      <c r="N56" s="562"/>
      <c r="O56" s="563"/>
      <c r="P56" s="553"/>
      <c r="Q56" s="553">
        <f t="shared" si="7"/>
        <v>0</v>
      </c>
      <c r="R56" s="553"/>
      <c r="S56" s="564">
        <f t="shared" si="8"/>
        <v>0</v>
      </c>
    </row>
    <row r="57" ht="68.25" customHeight="1">
      <c r="A57" s="493"/>
      <c r="B57" s="587" t="s">
        <v>614</v>
      </c>
      <c r="C57" s="567"/>
      <c r="D57" s="513">
        <v>1.0</v>
      </c>
      <c r="E57" s="514" t="s">
        <v>612</v>
      </c>
      <c r="F57" s="515" t="s">
        <v>615</v>
      </c>
      <c r="G57" s="591">
        <v>138.0</v>
      </c>
      <c r="H57" s="556"/>
      <c r="I57" s="557"/>
      <c r="J57" s="558"/>
      <c r="K57" s="559"/>
      <c r="L57" s="560"/>
      <c r="M57" s="561"/>
      <c r="N57" s="562"/>
      <c r="O57" s="563"/>
      <c r="P57" s="553"/>
      <c r="Q57" s="553">
        <f t="shared" si="7"/>
        <v>0</v>
      </c>
      <c r="R57" s="553"/>
      <c r="S57" s="564">
        <f t="shared" si="8"/>
        <v>0</v>
      </c>
    </row>
    <row r="58" ht="68.25" customHeight="1">
      <c r="A58" s="493"/>
      <c r="B58" s="587" t="s">
        <v>616</v>
      </c>
      <c r="C58" s="567"/>
      <c r="D58" s="513">
        <v>1.0</v>
      </c>
      <c r="E58" s="514" t="s">
        <v>617</v>
      </c>
      <c r="F58" s="119" t="s">
        <v>618</v>
      </c>
      <c r="G58" s="591">
        <v>138.0</v>
      </c>
      <c r="H58" s="556"/>
      <c r="I58" s="557"/>
      <c r="J58" s="558"/>
      <c r="K58" s="559"/>
      <c r="L58" s="560"/>
      <c r="M58" s="561"/>
      <c r="N58" s="562"/>
      <c r="O58" s="563"/>
      <c r="P58" s="553"/>
      <c r="Q58" s="553">
        <f t="shared" si="7"/>
        <v>0</v>
      </c>
      <c r="R58" s="553"/>
      <c r="S58" s="564">
        <f t="shared" si="8"/>
        <v>0</v>
      </c>
    </row>
    <row r="59" ht="68.25" customHeight="1">
      <c r="A59" s="493"/>
      <c r="B59" s="587" t="s">
        <v>619</v>
      </c>
      <c r="C59" s="567"/>
      <c r="D59" s="513">
        <v>1.0</v>
      </c>
      <c r="E59" s="514" t="s">
        <v>617</v>
      </c>
      <c r="F59" s="515" t="s">
        <v>620</v>
      </c>
      <c r="G59" s="591">
        <v>138.0</v>
      </c>
      <c r="H59" s="556"/>
      <c r="I59" s="557"/>
      <c r="J59" s="558"/>
      <c r="K59" s="559"/>
      <c r="L59" s="560"/>
      <c r="M59" s="561"/>
      <c r="N59" s="562"/>
      <c r="O59" s="563"/>
      <c r="P59" s="553"/>
      <c r="Q59" s="553">
        <f t="shared" si="7"/>
        <v>0</v>
      </c>
      <c r="R59" s="553"/>
      <c r="S59" s="564">
        <f t="shared" si="8"/>
        <v>0</v>
      </c>
    </row>
    <row r="60" ht="68.25" customHeight="1">
      <c r="A60" s="493"/>
      <c r="B60" s="587" t="s">
        <v>621</v>
      </c>
      <c r="C60" s="567"/>
      <c r="D60" s="513">
        <v>1.0</v>
      </c>
      <c r="E60" s="514" t="s">
        <v>622</v>
      </c>
      <c r="F60" s="515" t="s">
        <v>623</v>
      </c>
      <c r="G60" s="591">
        <v>138.0</v>
      </c>
      <c r="H60" s="556"/>
      <c r="I60" s="557"/>
      <c r="J60" s="558"/>
      <c r="K60" s="559"/>
      <c r="L60" s="560"/>
      <c r="M60" s="561"/>
      <c r="N60" s="562"/>
      <c r="O60" s="563"/>
      <c r="P60" s="553"/>
      <c r="Q60" s="553">
        <f t="shared" si="7"/>
        <v>0</v>
      </c>
      <c r="R60" s="553"/>
      <c r="S60" s="564">
        <f t="shared" si="8"/>
        <v>0</v>
      </c>
    </row>
    <row r="61" ht="68.25" customHeight="1">
      <c r="A61" s="493"/>
      <c r="B61" s="587" t="s">
        <v>624</v>
      </c>
      <c r="C61" s="567"/>
      <c r="D61" s="513">
        <v>1.0</v>
      </c>
      <c r="E61" s="514" t="s">
        <v>612</v>
      </c>
      <c r="F61" s="515" t="s">
        <v>625</v>
      </c>
      <c r="G61" s="591">
        <v>138.0</v>
      </c>
      <c r="H61" s="556"/>
      <c r="I61" s="557"/>
      <c r="J61" s="558"/>
      <c r="K61" s="559"/>
      <c r="L61" s="560"/>
      <c r="M61" s="561"/>
      <c r="N61" s="562"/>
      <c r="O61" s="563"/>
      <c r="P61" s="553"/>
      <c r="Q61" s="553">
        <f t="shared" si="7"/>
        <v>0</v>
      </c>
      <c r="R61" s="553"/>
      <c r="S61" s="564">
        <f t="shared" si="8"/>
        <v>0</v>
      </c>
    </row>
    <row r="62" ht="68.25" customHeight="1">
      <c r="A62" s="493"/>
      <c r="B62" s="587" t="s">
        <v>626</v>
      </c>
      <c r="C62" s="567"/>
      <c r="D62" s="513">
        <v>1.0</v>
      </c>
      <c r="E62" s="514" t="s">
        <v>627</v>
      </c>
      <c r="F62" s="515" t="s">
        <v>628</v>
      </c>
      <c r="G62" s="591">
        <v>138.0</v>
      </c>
      <c r="H62" s="556"/>
      <c r="I62" s="557"/>
      <c r="J62" s="558"/>
      <c r="K62" s="559"/>
      <c r="L62" s="560"/>
      <c r="M62" s="561"/>
      <c r="N62" s="562"/>
      <c r="O62" s="563"/>
      <c r="P62" s="553"/>
      <c r="Q62" s="553">
        <f t="shared" si="7"/>
        <v>0</v>
      </c>
      <c r="R62" s="553"/>
      <c r="S62" s="564">
        <f t="shared" si="8"/>
        <v>0</v>
      </c>
    </row>
    <row r="63" ht="68.25" customHeight="1">
      <c r="A63" s="493"/>
      <c r="B63" s="587" t="s">
        <v>629</v>
      </c>
      <c r="C63" s="567"/>
      <c r="D63" s="513">
        <v>1.0</v>
      </c>
      <c r="E63" s="514" t="s">
        <v>627</v>
      </c>
      <c r="F63" s="515" t="s">
        <v>630</v>
      </c>
      <c r="G63" s="591">
        <v>138.0</v>
      </c>
      <c r="H63" s="556"/>
      <c r="I63" s="557"/>
      <c r="J63" s="558"/>
      <c r="K63" s="559"/>
      <c r="L63" s="560"/>
      <c r="M63" s="561"/>
      <c r="N63" s="562"/>
      <c r="O63" s="563"/>
      <c r="P63" s="553"/>
      <c r="Q63" s="553">
        <f t="shared" si="7"/>
        <v>0</v>
      </c>
      <c r="R63" s="553"/>
      <c r="S63" s="564">
        <f t="shared" si="8"/>
        <v>0</v>
      </c>
    </row>
    <row r="64" ht="68.25" customHeight="1">
      <c r="A64" s="493"/>
      <c r="B64" s="587" t="s">
        <v>631</v>
      </c>
      <c r="C64" s="567"/>
      <c r="D64" s="513">
        <v>1.0</v>
      </c>
      <c r="E64" s="514" t="s">
        <v>632</v>
      </c>
      <c r="F64" s="515" t="s">
        <v>633</v>
      </c>
      <c r="G64" s="591">
        <v>138.0</v>
      </c>
      <c r="H64" s="556"/>
      <c r="I64" s="557"/>
      <c r="J64" s="558"/>
      <c r="K64" s="559"/>
      <c r="L64" s="560"/>
      <c r="M64" s="561"/>
      <c r="N64" s="562"/>
      <c r="O64" s="563"/>
      <c r="P64" s="553"/>
      <c r="Q64" s="553">
        <f t="shared" si="7"/>
        <v>0</v>
      </c>
      <c r="R64" s="553"/>
      <c r="S64" s="564">
        <f t="shared" si="8"/>
        <v>0</v>
      </c>
    </row>
    <row r="65" ht="68.25" customHeight="1">
      <c r="A65" s="493"/>
      <c r="B65" s="587" t="s">
        <v>634</v>
      </c>
      <c r="C65" s="567"/>
      <c r="D65" s="513">
        <v>1.0</v>
      </c>
      <c r="E65" s="514" t="s">
        <v>632</v>
      </c>
      <c r="F65" s="515" t="s">
        <v>635</v>
      </c>
      <c r="G65" s="591">
        <v>138.0</v>
      </c>
      <c r="H65" s="556"/>
      <c r="I65" s="557"/>
      <c r="J65" s="558"/>
      <c r="K65" s="559"/>
      <c r="L65" s="560"/>
      <c r="M65" s="561"/>
      <c r="N65" s="562"/>
      <c r="O65" s="563"/>
      <c r="P65" s="553"/>
      <c r="Q65" s="553">
        <f t="shared" si="7"/>
        <v>0</v>
      </c>
      <c r="R65" s="553"/>
      <c r="S65" s="564">
        <f t="shared" si="8"/>
        <v>0</v>
      </c>
    </row>
    <row r="66" ht="68.25" customHeight="1">
      <c r="A66" s="493"/>
      <c r="B66" s="587" t="s">
        <v>636</v>
      </c>
      <c r="C66" s="567"/>
      <c r="D66" s="513">
        <v>1.0</v>
      </c>
      <c r="E66" s="514" t="s">
        <v>637</v>
      </c>
      <c r="F66" s="515"/>
      <c r="G66" s="591">
        <v>138.0</v>
      </c>
      <c r="H66" s="556"/>
      <c r="I66" s="557"/>
      <c r="J66" s="558"/>
      <c r="K66" s="559"/>
      <c r="L66" s="560"/>
      <c r="M66" s="561"/>
      <c r="N66" s="562"/>
      <c r="O66" s="563"/>
      <c r="P66" s="553"/>
      <c r="Q66" s="553">
        <f t="shared" si="7"/>
        <v>0</v>
      </c>
      <c r="R66" s="553"/>
      <c r="S66" s="564">
        <f t="shared" si="8"/>
        <v>0</v>
      </c>
    </row>
    <row r="67" ht="68.25" customHeight="1">
      <c r="A67" s="493"/>
      <c r="B67" s="587" t="s">
        <v>638</v>
      </c>
      <c r="C67" s="567"/>
      <c r="D67" s="513">
        <v>1.0</v>
      </c>
      <c r="E67" s="514" t="s">
        <v>637</v>
      </c>
      <c r="F67" s="515" t="s">
        <v>639</v>
      </c>
      <c r="G67" s="591">
        <v>138.0</v>
      </c>
      <c r="H67" s="556"/>
      <c r="I67" s="557"/>
      <c r="J67" s="558"/>
      <c r="K67" s="559"/>
      <c r="L67" s="560"/>
      <c r="M67" s="561"/>
      <c r="N67" s="562"/>
      <c r="O67" s="563"/>
      <c r="P67" s="553"/>
      <c r="Q67" s="553">
        <f t="shared" si="7"/>
        <v>0</v>
      </c>
      <c r="R67" s="553"/>
      <c r="S67" s="564">
        <f t="shared" si="8"/>
        <v>0</v>
      </c>
    </row>
    <row r="68" ht="68.25" customHeight="1">
      <c r="A68" s="493"/>
      <c r="B68" s="587" t="s">
        <v>640</v>
      </c>
      <c r="C68" s="567"/>
      <c r="D68" s="513">
        <v>1.0</v>
      </c>
      <c r="E68" s="514" t="s">
        <v>637</v>
      </c>
      <c r="F68" s="515" t="s">
        <v>641</v>
      </c>
      <c r="G68" s="591">
        <v>138.0</v>
      </c>
      <c r="H68" s="594"/>
      <c r="I68" s="557"/>
      <c r="J68" s="558"/>
      <c r="K68" s="559"/>
      <c r="L68" s="560"/>
      <c r="M68" s="561"/>
      <c r="N68" s="562"/>
      <c r="O68" s="563"/>
      <c r="P68" s="553"/>
      <c r="Q68" s="553">
        <f t="shared" si="7"/>
        <v>0</v>
      </c>
      <c r="R68" s="553"/>
      <c r="S68" s="564">
        <f t="shared" si="8"/>
        <v>0</v>
      </c>
    </row>
    <row r="69" ht="24.75" customHeight="1">
      <c r="A69" s="493"/>
    </row>
    <row r="70" ht="24.75" customHeight="1">
      <c r="A70" s="493"/>
      <c r="G70" s="1"/>
      <c r="H70" s="595">
        <f t="shared" ref="H70:S70" si="9">SUM(H6:H68)</f>
        <v>0</v>
      </c>
      <c r="I70" s="595">
        <f t="shared" si="9"/>
        <v>0</v>
      </c>
      <c r="J70" s="595">
        <f t="shared" si="9"/>
        <v>0</v>
      </c>
      <c r="K70" s="595">
        <f t="shared" si="9"/>
        <v>0</v>
      </c>
      <c r="L70" s="595">
        <f t="shared" si="9"/>
        <v>0</v>
      </c>
      <c r="M70" s="595">
        <f t="shared" si="9"/>
        <v>0</v>
      </c>
      <c r="N70" s="595">
        <f t="shared" si="9"/>
        <v>0</v>
      </c>
      <c r="O70" s="595">
        <f t="shared" si="9"/>
        <v>0</v>
      </c>
      <c r="P70" s="595">
        <f t="shared" si="9"/>
        <v>0</v>
      </c>
      <c r="Q70" s="595">
        <f t="shared" si="9"/>
        <v>0</v>
      </c>
      <c r="R70" s="595">
        <f t="shared" si="9"/>
        <v>0</v>
      </c>
      <c r="S70" s="596">
        <f t="shared" si="9"/>
        <v>0</v>
      </c>
    </row>
    <row r="71" ht="15.75" customHeight="1">
      <c r="A71" s="493"/>
      <c r="G71" s="1"/>
    </row>
    <row r="72" ht="15.75" customHeight="1">
      <c r="A72" s="493"/>
      <c r="G72" s="1"/>
    </row>
    <row r="73" ht="15.75" customHeight="1">
      <c r="A73" s="493"/>
      <c r="G73" s="1"/>
    </row>
    <row r="74" ht="15.75" customHeight="1">
      <c r="A74" s="493"/>
      <c r="G74" s="1"/>
    </row>
    <row r="75" ht="15.75" customHeight="1">
      <c r="A75" s="493"/>
      <c r="G75" s="1"/>
    </row>
    <row r="76" ht="15.75" customHeight="1">
      <c r="A76" s="493"/>
      <c r="G76" s="1"/>
    </row>
    <row r="77" ht="15.75" customHeight="1">
      <c r="A77" s="493"/>
      <c r="G77" s="1"/>
    </row>
    <row r="78" ht="15.75" customHeight="1">
      <c r="A78" s="493"/>
      <c r="G78" s="1"/>
    </row>
    <row r="79" ht="15.75" customHeight="1">
      <c r="A79" s="493"/>
      <c r="G79" s="1"/>
    </row>
    <row r="80" ht="15.75" customHeight="1">
      <c r="A80" s="493"/>
      <c r="G80" s="1"/>
    </row>
    <row r="81" ht="15.75" customHeight="1">
      <c r="G81" s="1"/>
    </row>
    <row r="82" ht="15.75" customHeight="1">
      <c r="G82" s="1"/>
    </row>
    <row r="83" ht="15.75" customHeight="1">
      <c r="G83" s="1"/>
    </row>
    <row r="84" ht="15.75" customHeight="1">
      <c r="G84" s="1"/>
    </row>
    <row r="85" ht="15.75" customHeight="1">
      <c r="G85" s="1"/>
    </row>
    <row r="86" ht="15.75" customHeight="1">
      <c r="G86" s="1"/>
    </row>
    <row r="87" ht="15.75" customHeight="1">
      <c r="G87" s="1"/>
    </row>
    <row r="88" ht="15.75" customHeight="1">
      <c r="G88" s="1"/>
    </row>
    <row r="89" ht="15.75" customHeight="1">
      <c r="G89" s="1"/>
    </row>
    <row r="90" ht="15.75" customHeight="1">
      <c r="G90" s="1"/>
    </row>
    <row r="91" ht="15.75" customHeight="1">
      <c r="G91" s="1"/>
    </row>
    <row r="92" ht="15.75" customHeight="1">
      <c r="G92" s="1"/>
    </row>
    <row r="93" ht="15.75" customHeight="1">
      <c r="G93" s="1"/>
    </row>
    <row r="94" ht="15.75" customHeight="1">
      <c r="G94" s="1"/>
    </row>
    <row r="95" ht="15.75" customHeight="1">
      <c r="G95" s="1"/>
    </row>
    <row r="96" ht="15.75" customHeight="1">
      <c r="G96" s="1"/>
    </row>
    <row r="97" ht="15.75" customHeight="1">
      <c r="G97" s="1"/>
    </row>
    <row r="98" ht="15.75" customHeight="1">
      <c r="G98" s="1"/>
    </row>
    <row r="99" ht="15.75" customHeight="1">
      <c r="G99" s="1"/>
    </row>
    <row r="100" ht="15.75" customHeight="1">
      <c r="G100" s="1"/>
    </row>
    <row r="101" ht="15.75" customHeight="1">
      <c r="G101" s="1"/>
    </row>
    <row r="102" ht="15.75" customHeight="1">
      <c r="G102" s="1"/>
    </row>
    <row r="103" ht="15.75" customHeight="1">
      <c r="G103" s="1"/>
    </row>
    <row r="104" ht="15.75" customHeight="1">
      <c r="G104" s="1"/>
    </row>
    <row r="105" ht="15.75" customHeight="1">
      <c r="G105" s="1"/>
    </row>
    <row r="106" ht="15.75" customHeight="1">
      <c r="G106" s="1"/>
    </row>
    <row r="107" ht="15.75" customHeight="1">
      <c r="G107" s="1"/>
    </row>
    <row r="108" ht="15.75" customHeight="1">
      <c r="G108" s="1"/>
    </row>
    <row r="109" ht="15.75" customHeight="1">
      <c r="G109" s="1"/>
    </row>
    <row r="110" ht="15.75" customHeight="1">
      <c r="G110" s="1"/>
    </row>
    <row r="111" ht="15.75" customHeight="1">
      <c r="G111" s="1"/>
    </row>
    <row r="112" ht="15.75" customHeight="1">
      <c r="G112" s="1"/>
    </row>
    <row r="113" ht="15.75" customHeight="1">
      <c r="G113" s="1"/>
    </row>
    <row r="114" ht="15.75" customHeight="1">
      <c r="G114" s="1"/>
    </row>
    <row r="115" ht="15.75" customHeight="1">
      <c r="G115" s="1"/>
    </row>
    <row r="116" ht="15.75" customHeight="1">
      <c r="G116" s="1"/>
    </row>
    <row r="117" ht="15.75" customHeight="1">
      <c r="G117" s="1"/>
    </row>
    <row r="118" ht="15.75" customHeight="1">
      <c r="G118" s="1"/>
    </row>
    <row r="119" ht="15.75" customHeight="1">
      <c r="G119" s="1"/>
    </row>
    <row r="120" ht="15.75" customHeight="1">
      <c r="G120" s="1"/>
    </row>
    <row r="121" ht="15.75" customHeight="1">
      <c r="G121" s="1"/>
    </row>
    <row r="122" ht="15.75" customHeight="1">
      <c r="G122" s="1"/>
    </row>
    <row r="123" ht="15.75" customHeight="1">
      <c r="G123" s="1"/>
    </row>
    <row r="124" ht="15.75" customHeight="1">
      <c r="G124" s="1"/>
    </row>
    <row r="125" ht="15.75" customHeight="1">
      <c r="G125" s="1"/>
    </row>
    <row r="126" ht="15.75" customHeight="1">
      <c r="G126" s="1"/>
    </row>
    <row r="127" ht="15.75" customHeight="1">
      <c r="G127" s="1"/>
    </row>
    <row r="128" ht="15.75" customHeight="1">
      <c r="G128" s="1"/>
    </row>
    <row r="129" ht="15.75" customHeight="1">
      <c r="G129" s="1"/>
    </row>
    <row r="130" ht="15.75" customHeight="1">
      <c r="G130" s="1"/>
    </row>
    <row r="131" ht="15.75" customHeight="1">
      <c r="G131" s="1"/>
    </row>
    <row r="132" ht="15.75" customHeight="1">
      <c r="G132" s="1"/>
    </row>
    <row r="133" ht="15.75" customHeight="1">
      <c r="G133" s="1"/>
    </row>
    <row r="134" ht="15.75" customHeight="1">
      <c r="G134" s="1"/>
    </row>
    <row r="135" ht="15.75" customHeight="1">
      <c r="G135" s="1"/>
    </row>
    <row r="136" ht="15.75" customHeight="1">
      <c r="G136" s="1"/>
    </row>
    <row r="137" ht="15.75" customHeight="1">
      <c r="G137" s="1"/>
    </row>
    <row r="138" ht="15.75" customHeight="1">
      <c r="G138" s="1"/>
    </row>
    <row r="139" ht="15.75" customHeight="1">
      <c r="G139" s="1"/>
    </row>
    <row r="140" ht="15.75" customHeight="1">
      <c r="G140" s="1"/>
    </row>
    <row r="141" ht="15.75" customHeight="1">
      <c r="G141" s="1"/>
    </row>
    <row r="142" ht="15.75" customHeight="1">
      <c r="G142" s="1"/>
    </row>
    <row r="143" ht="15.75" customHeight="1">
      <c r="G143" s="1"/>
    </row>
    <row r="144" ht="15.75" customHeight="1">
      <c r="G144" s="1"/>
    </row>
    <row r="145" ht="15.75" customHeight="1">
      <c r="G145" s="1"/>
    </row>
    <row r="146" ht="15.75" customHeight="1">
      <c r="G146" s="1"/>
    </row>
    <row r="147" ht="15.75" customHeight="1">
      <c r="G147" s="1"/>
    </row>
    <row r="148" ht="15.75" customHeight="1">
      <c r="G148" s="1"/>
    </row>
    <row r="149" ht="15.75" customHeight="1">
      <c r="G149" s="1"/>
    </row>
    <row r="150" ht="15.75" customHeight="1">
      <c r="G150" s="1"/>
    </row>
    <row r="151" ht="15.75" customHeight="1">
      <c r="G151" s="1"/>
    </row>
    <row r="152" ht="15.75" customHeight="1">
      <c r="G152" s="1"/>
    </row>
    <row r="153" ht="15.75" customHeight="1">
      <c r="G153" s="1"/>
    </row>
    <row r="154" ht="15.75" customHeight="1">
      <c r="G154" s="1"/>
    </row>
    <row r="155" ht="15.75" customHeight="1">
      <c r="G155" s="1"/>
    </row>
    <row r="156" ht="15.75" customHeight="1">
      <c r="G156" s="1"/>
    </row>
    <row r="157" ht="15.75" customHeight="1">
      <c r="G157" s="1"/>
    </row>
    <row r="158" ht="15.75" customHeight="1">
      <c r="G158" s="1"/>
    </row>
    <row r="159" ht="15.75" customHeight="1">
      <c r="G159" s="1"/>
    </row>
    <row r="160" ht="15.75" customHeight="1">
      <c r="G160" s="1"/>
    </row>
    <row r="161" ht="15.75" customHeight="1">
      <c r="G161" s="1"/>
    </row>
    <row r="162" ht="15.75" customHeight="1">
      <c r="G162" s="1"/>
    </row>
    <row r="163" ht="15.75" customHeight="1">
      <c r="G163" s="1"/>
    </row>
    <row r="164" ht="15.75" customHeight="1">
      <c r="G164" s="1"/>
    </row>
    <row r="165" ht="15.75" customHeight="1">
      <c r="G165" s="1"/>
    </row>
    <row r="166" ht="15.75" customHeight="1">
      <c r="G166" s="1"/>
    </row>
    <row r="167" ht="15.75" customHeight="1">
      <c r="G167" s="1"/>
    </row>
    <row r="168" ht="15.75" customHeight="1">
      <c r="G168" s="1"/>
    </row>
    <row r="169" ht="15.75" customHeight="1">
      <c r="G169" s="1"/>
    </row>
    <row r="170" ht="15.75" customHeight="1">
      <c r="G170" s="1"/>
    </row>
    <row r="171" ht="15.75" customHeight="1">
      <c r="G171" s="1"/>
    </row>
    <row r="172" ht="15.75" customHeight="1">
      <c r="G172" s="1"/>
    </row>
    <row r="173" ht="15.75" customHeight="1">
      <c r="G173" s="1"/>
    </row>
    <row r="174" ht="15.75" customHeight="1">
      <c r="G174" s="1"/>
    </row>
    <row r="175" ht="15.75" customHeight="1">
      <c r="G175" s="1"/>
    </row>
    <row r="176" ht="15.75" customHeight="1">
      <c r="G176" s="1"/>
    </row>
    <row r="177" ht="15.75" customHeight="1">
      <c r="G177" s="1"/>
    </row>
    <row r="178" ht="15.75" customHeight="1">
      <c r="G178" s="1"/>
    </row>
    <row r="179" ht="15.75" customHeight="1">
      <c r="G179" s="1"/>
    </row>
    <row r="180" ht="15.75" customHeight="1">
      <c r="G180" s="1"/>
    </row>
    <row r="181" ht="15.75" customHeight="1">
      <c r="G181" s="1"/>
    </row>
    <row r="182" ht="15.75" customHeight="1">
      <c r="G182" s="1"/>
    </row>
    <row r="183" ht="15.75" customHeight="1">
      <c r="G183" s="1"/>
    </row>
    <row r="184" ht="15.75" customHeight="1">
      <c r="G184" s="1"/>
    </row>
    <row r="185" ht="15.75" customHeight="1">
      <c r="G185" s="1"/>
    </row>
    <row r="186" ht="15.75" customHeight="1">
      <c r="G186" s="1"/>
    </row>
    <row r="187" ht="15.75" customHeight="1">
      <c r="G187" s="1"/>
    </row>
    <row r="188" ht="15.75" customHeight="1">
      <c r="G188" s="1"/>
    </row>
    <row r="189" ht="15.75" customHeight="1">
      <c r="G189" s="1"/>
    </row>
    <row r="190" ht="15.75" customHeight="1">
      <c r="G190" s="1"/>
    </row>
    <row r="191" ht="15.75" customHeight="1">
      <c r="G191" s="1"/>
    </row>
    <row r="192" ht="15.75" customHeight="1">
      <c r="G192" s="1"/>
    </row>
    <row r="193" ht="15.75" customHeight="1">
      <c r="G193" s="1"/>
    </row>
    <row r="194" ht="15.75" customHeight="1">
      <c r="G194" s="1"/>
    </row>
    <row r="195" ht="15.75" customHeight="1">
      <c r="G195" s="1"/>
    </row>
    <row r="196" ht="15.75" customHeight="1">
      <c r="G196" s="1"/>
    </row>
    <row r="197" ht="15.75" customHeight="1">
      <c r="G197" s="1"/>
    </row>
    <row r="198" ht="15.75" customHeight="1">
      <c r="G198" s="1"/>
    </row>
    <row r="199" ht="15.75" customHeight="1">
      <c r="G199" s="1"/>
    </row>
    <row r="200" ht="15.75" customHeight="1">
      <c r="G200" s="1"/>
    </row>
    <row r="201" ht="15.75" customHeight="1">
      <c r="G201" s="1"/>
    </row>
    <row r="202" ht="15.75" customHeight="1">
      <c r="G202" s="1"/>
    </row>
    <row r="203" ht="15.75" customHeight="1">
      <c r="G203" s="1"/>
    </row>
    <row r="204" ht="15.75" customHeight="1">
      <c r="G204" s="1"/>
    </row>
    <row r="205" ht="15.75" customHeight="1">
      <c r="G205" s="1"/>
    </row>
    <row r="206" ht="15.75" customHeight="1">
      <c r="G206" s="1"/>
    </row>
    <row r="207" ht="15.75" customHeight="1">
      <c r="G207" s="1"/>
    </row>
    <row r="208" ht="15.75" customHeight="1">
      <c r="G208" s="1"/>
    </row>
    <row r="209" ht="15.75" customHeight="1">
      <c r="G209" s="1"/>
    </row>
    <row r="210" ht="15.75" customHeight="1">
      <c r="G210" s="1"/>
    </row>
    <row r="211" ht="15.75" customHeight="1">
      <c r="G211" s="1"/>
    </row>
    <row r="212" ht="15.75" customHeight="1">
      <c r="G212" s="1"/>
    </row>
    <row r="213" ht="15.75" customHeight="1">
      <c r="G213" s="1"/>
    </row>
    <row r="214" ht="15.75" customHeight="1">
      <c r="G214" s="1"/>
    </row>
    <row r="215" ht="15.75" customHeight="1">
      <c r="G215" s="1"/>
    </row>
    <row r="216" ht="15.75" customHeight="1">
      <c r="G216" s="1"/>
    </row>
    <row r="217" ht="15.75" customHeight="1">
      <c r="G217" s="1"/>
    </row>
    <row r="218" ht="15.75" customHeight="1">
      <c r="G218" s="1"/>
    </row>
    <row r="219" ht="15.75" customHeight="1">
      <c r="G219" s="1"/>
    </row>
    <row r="220" ht="15.75" customHeight="1">
      <c r="G220" s="1"/>
    </row>
    <row r="221" ht="15.75" customHeight="1">
      <c r="G221" s="1"/>
    </row>
    <row r="222" ht="15.75" customHeight="1">
      <c r="G222" s="1"/>
    </row>
    <row r="223" ht="15.75" customHeight="1">
      <c r="G223" s="1"/>
    </row>
    <row r="224" ht="15.75" customHeight="1">
      <c r="G224" s="1"/>
    </row>
    <row r="225" ht="15.75" customHeight="1">
      <c r="G225" s="1"/>
    </row>
    <row r="226" ht="15.75" customHeight="1">
      <c r="G226" s="1"/>
    </row>
    <row r="227" ht="15.75" customHeight="1">
      <c r="G227" s="1"/>
    </row>
    <row r="228" ht="15.75" customHeight="1">
      <c r="G228" s="1"/>
    </row>
    <row r="229" ht="15.75" customHeight="1">
      <c r="G229" s="1"/>
    </row>
    <row r="230" ht="15.75" customHeight="1">
      <c r="G230" s="1"/>
    </row>
    <row r="231" ht="15.75" customHeight="1">
      <c r="G231" s="1"/>
    </row>
    <row r="232" ht="15.75" customHeight="1">
      <c r="G232" s="1"/>
    </row>
    <row r="233" ht="15.75" customHeight="1">
      <c r="G233" s="1"/>
    </row>
    <row r="234" ht="15.75" customHeight="1">
      <c r="G234" s="1"/>
    </row>
    <row r="235" ht="15.75" customHeight="1">
      <c r="G235" s="1"/>
    </row>
    <row r="236" ht="15.75" customHeight="1">
      <c r="G236" s="1"/>
    </row>
    <row r="237" ht="15.75" customHeight="1">
      <c r="G237" s="1"/>
    </row>
    <row r="238" ht="15.75" customHeight="1">
      <c r="G238" s="1"/>
    </row>
    <row r="239" ht="15.75" customHeight="1">
      <c r="G239" s="1"/>
    </row>
    <row r="240" ht="15.75" customHeight="1">
      <c r="G240" s="1"/>
    </row>
    <row r="241" ht="15.75" customHeight="1">
      <c r="G241" s="1"/>
    </row>
    <row r="242" ht="15.75" customHeight="1">
      <c r="G242" s="1"/>
    </row>
    <row r="243" ht="15.75" customHeight="1">
      <c r="G243" s="1"/>
    </row>
    <row r="244" ht="15.75" customHeight="1">
      <c r="G244" s="1"/>
    </row>
    <row r="245" ht="15.75" customHeight="1">
      <c r="G245" s="1"/>
    </row>
    <row r="246" ht="15.75" customHeight="1">
      <c r="G246" s="1"/>
    </row>
    <row r="247" ht="15.75" customHeight="1">
      <c r="G247" s="1"/>
    </row>
    <row r="248" ht="15.75" customHeight="1">
      <c r="G248" s="1"/>
    </row>
    <row r="249" ht="15.75" customHeight="1">
      <c r="G249" s="1"/>
    </row>
    <row r="250" ht="15.75" customHeight="1">
      <c r="G250" s="1"/>
    </row>
    <row r="251" ht="15.75" customHeight="1">
      <c r="G251" s="1"/>
    </row>
    <row r="252" ht="15.75" customHeight="1">
      <c r="G252" s="1"/>
    </row>
    <row r="253" ht="15.75" customHeight="1">
      <c r="G253" s="1"/>
    </row>
    <row r="254" ht="15.75" customHeight="1">
      <c r="G254" s="1"/>
    </row>
    <row r="255" ht="15.75" customHeight="1">
      <c r="G255" s="1"/>
    </row>
    <row r="256" ht="15.75" customHeight="1">
      <c r="G256" s="1"/>
    </row>
    <row r="257" ht="15.75" customHeight="1">
      <c r="G257" s="1"/>
    </row>
    <row r="258" ht="15.75" customHeight="1">
      <c r="G258" s="1"/>
    </row>
    <row r="259" ht="15.75" customHeight="1">
      <c r="G259" s="1"/>
    </row>
    <row r="260" ht="15.75" customHeight="1">
      <c r="G260" s="1"/>
    </row>
    <row r="261" ht="15.75" customHeight="1">
      <c r="G261" s="1"/>
    </row>
    <row r="262" ht="15.75" customHeight="1">
      <c r="G262" s="1"/>
    </row>
    <row r="263" ht="15.75" customHeight="1">
      <c r="G263" s="1"/>
    </row>
    <row r="264" ht="15.75" customHeight="1">
      <c r="G264" s="1"/>
    </row>
    <row r="265" ht="15.75" customHeight="1">
      <c r="G265" s="1"/>
    </row>
    <row r="266" ht="15.75" customHeight="1">
      <c r="G266" s="1"/>
    </row>
    <row r="267" ht="15.75" customHeight="1">
      <c r="G267" s="1"/>
    </row>
    <row r="268" ht="15.75" customHeight="1">
      <c r="G268" s="1"/>
    </row>
    <row r="269" ht="15.75" customHeight="1">
      <c r="G269" s="1"/>
    </row>
    <row r="270" ht="15.75" customHeight="1">
      <c r="G270" s="1"/>
    </row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11">
    <mergeCell ref="B31:C31"/>
    <mergeCell ref="E31:F31"/>
    <mergeCell ref="B53:C53"/>
    <mergeCell ref="E53:F53"/>
    <mergeCell ref="B2:S2"/>
    <mergeCell ref="B6:C6"/>
    <mergeCell ref="E6:F6"/>
    <mergeCell ref="C7:C10"/>
    <mergeCell ref="C11:C14"/>
    <mergeCell ref="B16:C16"/>
    <mergeCell ref="E16:F16"/>
  </mergeCell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3" max="3" width="16.43"/>
    <col customWidth="1" min="4" max="4" width="9.14"/>
    <col customWidth="1" min="5" max="5" width="10.14"/>
    <col customWidth="1" min="6" max="6" width="11.43"/>
    <col customWidth="1" min="7" max="7" width="12.86"/>
    <col customWidth="1" min="8" max="12" width="9.14"/>
    <col customWidth="1" min="13" max="13" width="12.29"/>
    <col customWidth="1" min="14" max="19" width="8.57"/>
    <col customWidth="1" min="20" max="20" width="9.0"/>
    <col customWidth="1" min="21" max="21" width="9.14"/>
    <col customWidth="1" min="22" max="22" width="12.0"/>
  </cols>
  <sheetData>
    <row r="1">
      <c r="G1" s="597"/>
    </row>
    <row r="2">
      <c r="G2" s="598" t="s">
        <v>642</v>
      </c>
      <c r="R2" s="599"/>
    </row>
    <row r="3">
      <c r="R3" s="599"/>
    </row>
    <row r="4">
      <c r="G4" s="597"/>
      <c r="L4" s="2"/>
      <c r="M4" s="2"/>
      <c r="N4" s="113" t="s">
        <v>643</v>
      </c>
      <c r="O4" s="113" t="s">
        <v>643</v>
      </c>
      <c r="P4" s="113" t="s">
        <v>643</v>
      </c>
    </row>
    <row r="5">
      <c r="B5" s="188" t="s">
        <v>15</v>
      </c>
      <c r="C5" s="189" t="s">
        <v>16</v>
      </c>
      <c r="D5" s="190" t="s">
        <v>17</v>
      </c>
      <c r="E5" s="190" t="s">
        <v>488</v>
      </c>
      <c r="F5" s="190" t="s">
        <v>18</v>
      </c>
      <c r="G5" s="600" t="s">
        <v>644</v>
      </c>
      <c r="H5" s="601" t="s">
        <v>645</v>
      </c>
      <c r="I5" s="602"/>
      <c r="J5" s="602"/>
      <c r="K5" s="602"/>
      <c r="L5" s="603"/>
      <c r="M5" s="604" t="s">
        <v>646</v>
      </c>
      <c r="N5" s="601" t="s">
        <v>645</v>
      </c>
      <c r="O5" s="602"/>
      <c r="P5" s="602"/>
      <c r="Q5" s="602"/>
      <c r="R5" s="602"/>
      <c r="S5" s="603"/>
      <c r="T5" s="37" t="s">
        <v>489</v>
      </c>
      <c r="U5" s="38" t="s">
        <v>22</v>
      </c>
      <c r="V5" s="39" t="s">
        <v>23</v>
      </c>
    </row>
    <row r="6">
      <c r="B6" s="113"/>
      <c r="C6" s="113"/>
      <c r="D6" s="113"/>
      <c r="E6" s="113"/>
      <c r="F6" s="113"/>
      <c r="G6" s="605"/>
      <c r="H6" s="484">
        <v>1018.0</v>
      </c>
      <c r="I6" s="485">
        <v>3020.0</v>
      </c>
      <c r="J6" s="486">
        <v>5015.0</v>
      </c>
      <c r="K6" s="487">
        <v>9005.0</v>
      </c>
      <c r="L6" s="606" t="s">
        <v>647</v>
      </c>
      <c r="M6" s="607"/>
      <c r="N6" s="608">
        <v>2005.0</v>
      </c>
      <c r="O6" s="609">
        <v>6038.0</v>
      </c>
      <c r="P6" s="610">
        <v>3017.0</v>
      </c>
      <c r="Q6" s="488">
        <v>4008.0</v>
      </c>
      <c r="R6" s="490">
        <v>4005.0</v>
      </c>
      <c r="S6" s="491">
        <v>6001.0</v>
      </c>
      <c r="T6" s="611"/>
      <c r="U6" s="611"/>
      <c r="V6" s="611"/>
    </row>
    <row r="7">
      <c r="B7" s="612"/>
      <c r="C7" s="613"/>
      <c r="D7" s="614"/>
      <c r="E7" s="226"/>
      <c r="F7" s="615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7"/>
      <c r="V7" s="618"/>
    </row>
    <row r="8">
      <c r="B8" s="619" t="s">
        <v>648</v>
      </c>
      <c r="C8" s="620"/>
      <c r="D8" s="621"/>
      <c r="E8" s="80"/>
      <c r="F8" s="622"/>
      <c r="G8" s="623">
        <f>G10+G18</f>
        <v>3505</v>
      </c>
      <c r="H8" s="517"/>
      <c r="I8" s="624"/>
      <c r="J8" s="519"/>
      <c r="K8" s="520"/>
      <c r="L8" s="625"/>
      <c r="M8" s="623">
        <f>M10+M18</f>
        <v>3954</v>
      </c>
      <c r="N8" s="626"/>
      <c r="O8" s="627"/>
      <c r="P8" s="628"/>
      <c r="Q8" s="528"/>
      <c r="R8" s="523"/>
      <c r="S8" s="629"/>
      <c r="T8" s="525">
        <f>(SUM(H8:L8)+SUM(N8:S8))*18</f>
        <v>0</v>
      </c>
      <c r="U8" s="525">
        <f>T8*2.444</f>
        <v>0</v>
      </c>
      <c r="V8" s="630">
        <f>(M8*SUM(N8:S8))+G8*(SUM(H8:L8))</f>
        <v>0</v>
      </c>
    </row>
    <row r="9" ht="29.25" customHeight="1"/>
    <row r="10" ht="29.25" customHeight="1">
      <c r="B10" s="631" t="s">
        <v>649</v>
      </c>
      <c r="C10" s="632"/>
      <c r="D10" s="633"/>
      <c r="E10" s="633"/>
      <c r="F10" s="634" t="s">
        <v>650</v>
      </c>
      <c r="G10" s="635">
        <f>1300</f>
        <v>1300</v>
      </c>
      <c r="H10" s="636"/>
      <c r="I10" s="637"/>
      <c r="J10" s="638"/>
      <c r="K10" s="639"/>
      <c r="L10" s="640"/>
      <c r="M10" s="635">
        <v>1500.0</v>
      </c>
      <c r="N10" s="641"/>
      <c r="O10" s="642"/>
      <c r="P10" s="643"/>
      <c r="Q10" s="644"/>
      <c r="R10" s="645"/>
      <c r="S10" s="646"/>
      <c r="T10" s="647">
        <f>(SUM(H10:L10)+SUM(N10:S10))*6</f>
        <v>0</v>
      </c>
      <c r="U10" s="647">
        <f t="shared" ref="U10:U11" si="1">T10*2.444</f>
        <v>0</v>
      </c>
      <c r="V10" s="648">
        <f>(M10*SUM(N10:S10))+G10*(SUM(H10:L10))</f>
        <v>0</v>
      </c>
    </row>
    <row r="11" ht="69.75" customHeight="1">
      <c r="B11" s="649" t="s">
        <v>651</v>
      </c>
      <c r="C11" s="650"/>
      <c r="D11" s="647">
        <v>1.0</v>
      </c>
      <c r="E11" s="647" t="s">
        <v>652</v>
      </c>
      <c r="F11" s="131" t="s">
        <v>653</v>
      </c>
      <c r="G11" s="591">
        <v>228.0</v>
      </c>
      <c r="H11" s="651"/>
      <c r="I11" s="652"/>
      <c r="J11" s="653"/>
      <c r="K11" s="654"/>
      <c r="L11" s="655"/>
      <c r="M11" s="591">
        <v>263.0</v>
      </c>
      <c r="N11" s="656"/>
      <c r="O11" s="657"/>
      <c r="P11" s="658"/>
      <c r="Q11" s="659"/>
      <c r="R11" s="660"/>
      <c r="S11" s="661"/>
      <c r="T11" s="647">
        <f t="shared" ref="T11:T16" si="2">SUM(H11:L11)+SUM(N11:S11)</f>
        <v>0</v>
      </c>
      <c r="U11" s="647">
        <f t="shared" si="1"/>
        <v>0</v>
      </c>
      <c r="V11" s="648">
        <f t="shared" ref="V11:V16" si="3">T11*G11</f>
        <v>0</v>
      </c>
    </row>
    <row r="12" ht="69.75" customHeight="1">
      <c r="B12" s="649" t="s">
        <v>654</v>
      </c>
      <c r="C12" s="80"/>
      <c r="D12" s="525">
        <v>1.0</v>
      </c>
      <c r="E12" s="525" t="s">
        <v>655</v>
      </c>
      <c r="F12" s="45" t="s">
        <v>656</v>
      </c>
      <c r="G12" s="516">
        <v>228.0</v>
      </c>
      <c r="H12" s="517"/>
      <c r="I12" s="518"/>
      <c r="J12" s="519"/>
      <c r="K12" s="520"/>
      <c r="L12" s="662"/>
      <c r="M12" s="516">
        <v>263.0</v>
      </c>
      <c r="N12" s="663"/>
      <c r="O12" s="664"/>
      <c r="P12" s="628"/>
      <c r="Q12" s="521"/>
      <c r="R12" s="523"/>
      <c r="S12" s="629"/>
      <c r="T12" s="647">
        <f t="shared" si="2"/>
        <v>0</v>
      </c>
      <c r="U12" s="525">
        <f>T12*2.105</f>
        <v>0</v>
      </c>
      <c r="V12" s="566">
        <f t="shared" si="3"/>
        <v>0</v>
      </c>
    </row>
    <row r="13" ht="69.75" customHeight="1">
      <c r="B13" s="649" t="s">
        <v>657</v>
      </c>
      <c r="C13" s="80"/>
      <c r="D13" s="525">
        <v>1.0</v>
      </c>
      <c r="E13" s="525" t="s">
        <v>658</v>
      </c>
      <c r="F13" s="45" t="s">
        <v>659</v>
      </c>
      <c r="G13" s="516">
        <v>228.0</v>
      </c>
      <c r="H13" s="517"/>
      <c r="I13" s="518"/>
      <c r="J13" s="519"/>
      <c r="K13" s="520"/>
      <c r="L13" s="662"/>
      <c r="M13" s="516">
        <v>263.0</v>
      </c>
      <c r="N13" s="663"/>
      <c r="O13" s="664"/>
      <c r="P13" s="628"/>
      <c r="Q13" s="521"/>
      <c r="R13" s="523"/>
      <c r="S13" s="629"/>
      <c r="T13" s="647">
        <f t="shared" si="2"/>
        <v>0</v>
      </c>
      <c r="U13" s="525">
        <f>T13*2.208</f>
        <v>0</v>
      </c>
      <c r="V13" s="566">
        <f t="shared" si="3"/>
        <v>0</v>
      </c>
    </row>
    <row r="14" ht="69.75" customHeight="1">
      <c r="B14" s="649" t="s">
        <v>660</v>
      </c>
      <c r="C14" s="80"/>
      <c r="D14" s="525">
        <v>1.0</v>
      </c>
      <c r="E14" s="525" t="s">
        <v>661</v>
      </c>
      <c r="F14" s="45" t="s">
        <v>662</v>
      </c>
      <c r="G14" s="516">
        <v>228.0</v>
      </c>
      <c r="H14" s="665"/>
      <c r="I14" s="518"/>
      <c r="J14" s="519"/>
      <c r="K14" s="520"/>
      <c r="L14" s="662"/>
      <c r="M14" s="516">
        <v>263.0</v>
      </c>
      <c r="N14" s="663"/>
      <c r="O14" s="627"/>
      <c r="P14" s="628"/>
      <c r="Q14" s="521"/>
      <c r="R14" s="523"/>
      <c r="S14" s="629"/>
      <c r="T14" s="647">
        <f t="shared" si="2"/>
        <v>0</v>
      </c>
      <c r="U14" s="525">
        <f>T14*2.644</f>
        <v>0</v>
      </c>
      <c r="V14" s="566">
        <f t="shared" si="3"/>
        <v>0</v>
      </c>
    </row>
    <row r="15" ht="69.75" customHeight="1">
      <c r="B15" s="666" t="s">
        <v>663</v>
      </c>
      <c r="C15" s="80"/>
      <c r="D15" s="525">
        <v>1.0</v>
      </c>
      <c r="E15" s="525" t="s">
        <v>664</v>
      </c>
      <c r="F15" s="45" t="s">
        <v>665</v>
      </c>
      <c r="G15" s="516">
        <v>228.0</v>
      </c>
      <c r="H15" s="517"/>
      <c r="I15" s="518"/>
      <c r="J15" s="519"/>
      <c r="K15" s="520"/>
      <c r="L15" s="662"/>
      <c r="M15" s="516">
        <v>263.0</v>
      </c>
      <c r="N15" s="663"/>
      <c r="O15" s="664"/>
      <c r="P15" s="628"/>
      <c r="Q15" s="521"/>
      <c r="R15" s="523"/>
      <c r="S15" s="629"/>
      <c r="T15" s="647">
        <f t="shared" si="2"/>
        <v>0</v>
      </c>
      <c r="U15" s="525">
        <f>T15*2.205</f>
        <v>0</v>
      </c>
      <c r="V15" s="566">
        <f t="shared" si="3"/>
        <v>0</v>
      </c>
    </row>
    <row r="16" ht="69.75" customHeight="1">
      <c r="B16" s="666" t="s">
        <v>666</v>
      </c>
      <c r="C16" s="80"/>
      <c r="D16" s="525">
        <v>1.0</v>
      </c>
      <c r="E16" s="525" t="s">
        <v>667</v>
      </c>
      <c r="F16" s="45" t="s">
        <v>668</v>
      </c>
      <c r="G16" s="516">
        <v>228.0</v>
      </c>
      <c r="H16" s="517"/>
      <c r="I16" s="518"/>
      <c r="J16" s="519"/>
      <c r="K16" s="574"/>
      <c r="L16" s="662"/>
      <c r="M16" s="516">
        <v>263.0</v>
      </c>
      <c r="N16" s="663"/>
      <c r="O16" s="664"/>
      <c r="P16" s="628"/>
      <c r="Q16" s="521"/>
      <c r="R16" s="523"/>
      <c r="S16" s="629"/>
      <c r="T16" s="647">
        <f t="shared" si="2"/>
        <v>0</v>
      </c>
      <c r="U16" s="525">
        <f>T16*2.557</f>
        <v>0</v>
      </c>
      <c r="V16" s="566">
        <f t="shared" si="3"/>
        <v>0</v>
      </c>
    </row>
    <row r="17" ht="23.25" customHeight="1"/>
    <row r="18">
      <c r="B18" s="667" t="s">
        <v>669</v>
      </c>
      <c r="C18" s="603"/>
      <c r="D18" s="668">
        <f>SUM(D19:D30)</f>
        <v>12</v>
      </c>
      <c r="E18" s="669" t="s">
        <v>650</v>
      </c>
      <c r="F18" s="603"/>
      <c r="G18" s="670">
        <v>2205.0</v>
      </c>
      <c r="H18" s="671"/>
      <c r="I18" s="672"/>
      <c r="J18" s="673"/>
      <c r="K18" s="674"/>
      <c r="L18" s="675"/>
      <c r="M18" s="670">
        <v>2454.0</v>
      </c>
      <c r="N18" s="676"/>
      <c r="O18" s="677"/>
      <c r="P18" s="678"/>
      <c r="Q18" s="679"/>
      <c r="R18" s="680"/>
      <c r="S18" s="681"/>
      <c r="T18" s="647">
        <f>(SUM(H18:L18)+SUM(N18:S18))*D18</f>
        <v>0</v>
      </c>
      <c r="U18" s="647">
        <f>T18*2.444</f>
        <v>0</v>
      </c>
      <c r="V18" s="648">
        <f>(M18*SUM(N18:S18))+G18*(SUM(H18:L18))</f>
        <v>0</v>
      </c>
    </row>
    <row r="19" ht="90.0" customHeight="1">
      <c r="B19" s="682" t="s">
        <v>670</v>
      </c>
      <c r="C19" s="552"/>
      <c r="D19" s="553">
        <v>1.0</v>
      </c>
      <c r="E19" s="553" t="s">
        <v>671</v>
      </c>
      <c r="F19" s="554" t="s">
        <v>672</v>
      </c>
      <c r="G19" s="555">
        <v>227.5</v>
      </c>
      <c r="H19" s="556"/>
      <c r="I19" s="557"/>
      <c r="J19" s="558"/>
      <c r="K19" s="592"/>
      <c r="L19" s="683"/>
      <c r="M19" s="516">
        <v>262.5</v>
      </c>
      <c r="N19" s="684"/>
      <c r="O19" s="685"/>
      <c r="P19" s="686"/>
      <c r="Q19" s="560"/>
      <c r="R19" s="562"/>
      <c r="S19" s="687"/>
      <c r="T19" s="647">
        <f t="shared" ref="T19:T30" si="4">SUM(H19:L19)+SUM(N19:S19)</f>
        <v>0</v>
      </c>
      <c r="U19" s="553">
        <f>T19*1.741</f>
        <v>0</v>
      </c>
      <c r="V19" s="564">
        <f t="shared" ref="V19:V30" si="5">T19*G19</f>
        <v>0</v>
      </c>
    </row>
    <row r="20" ht="90.0" customHeight="1">
      <c r="B20" s="666" t="s">
        <v>673</v>
      </c>
      <c r="C20" s="80"/>
      <c r="D20" s="525">
        <v>1.0</v>
      </c>
      <c r="E20" s="525" t="s">
        <v>674</v>
      </c>
      <c r="F20" s="45" t="s">
        <v>675</v>
      </c>
      <c r="G20" s="565">
        <v>206.5</v>
      </c>
      <c r="H20" s="517"/>
      <c r="I20" s="518"/>
      <c r="J20" s="519"/>
      <c r="K20" s="520"/>
      <c r="L20" s="662"/>
      <c r="M20" s="516">
        <v>241.5</v>
      </c>
      <c r="N20" s="663"/>
      <c r="O20" s="664"/>
      <c r="P20" s="628"/>
      <c r="Q20" s="521"/>
      <c r="R20" s="523"/>
      <c r="S20" s="629"/>
      <c r="T20" s="647">
        <f t="shared" si="4"/>
        <v>0</v>
      </c>
      <c r="U20" s="525">
        <f>T20*1.609</f>
        <v>0</v>
      </c>
      <c r="V20" s="566">
        <f t="shared" si="5"/>
        <v>0</v>
      </c>
    </row>
    <row r="21" ht="90.0" customHeight="1">
      <c r="B21" s="666" t="s">
        <v>676</v>
      </c>
      <c r="C21" s="80"/>
      <c r="D21" s="525">
        <v>1.0</v>
      </c>
      <c r="E21" s="525" t="s">
        <v>677</v>
      </c>
      <c r="F21" s="45" t="s">
        <v>678</v>
      </c>
      <c r="G21" s="565">
        <v>206.5</v>
      </c>
      <c r="H21" s="517"/>
      <c r="I21" s="518"/>
      <c r="J21" s="519"/>
      <c r="K21" s="520"/>
      <c r="L21" s="662"/>
      <c r="M21" s="516">
        <v>241.5</v>
      </c>
      <c r="N21" s="663"/>
      <c r="O21" s="664"/>
      <c r="P21" s="628"/>
      <c r="Q21" s="521"/>
      <c r="R21" s="523"/>
      <c r="S21" s="629"/>
      <c r="T21" s="647">
        <f t="shared" si="4"/>
        <v>0</v>
      </c>
      <c r="U21" s="525">
        <f>T21*1.671</f>
        <v>0</v>
      </c>
      <c r="V21" s="566">
        <f t="shared" si="5"/>
        <v>0</v>
      </c>
    </row>
    <row r="22" ht="90.0" customHeight="1">
      <c r="B22" s="666" t="s">
        <v>679</v>
      </c>
      <c r="C22" s="567"/>
      <c r="D22" s="525">
        <v>1.0</v>
      </c>
      <c r="E22" s="525" t="s">
        <v>680</v>
      </c>
      <c r="F22" s="45" t="s">
        <v>681</v>
      </c>
      <c r="G22" s="565">
        <v>206.5</v>
      </c>
      <c r="H22" s="517"/>
      <c r="I22" s="518"/>
      <c r="J22" s="519"/>
      <c r="K22" s="520"/>
      <c r="L22" s="662"/>
      <c r="M22" s="516">
        <v>241.5</v>
      </c>
      <c r="N22" s="663"/>
      <c r="O22" s="664"/>
      <c r="P22" s="628"/>
      <c r="Q22" s="521"/>
      <c r="R22" s="523"/>
      <c r="S22" s="629"/>
      <c r="T22" s="647">
        <f t="shared" si="4"/>
        <v>0</v>
      </c>
      <c r="U22" s="525"/>
      <c r="V22" s="566">
        <f t="shared" si="5"/>
        <v>0</v>
      </c>
    </row>
    <row r="23" ht="90.0" customHeight="1">
      <c r="B23" s="666" t="s">
        <v>682</v>
      </c>
      <c r="C23" s="567"/>
      <c r="D23" s="525">
        <v>1.0</v>
      </c>
      <c r="E23" s="525" t="s">
        <v>680</v>
      </c>
      <c r="F23" s="45" t="s">
        <v>683</v>
      </c>
      <c r="G23" s="565">
        <v>206.5</v>
      </c>
      <c r="H23" s="517"/>
      <c r="I23" s="518"/>
      <c r="J23" s="519"/>
      <c r="K23" s="520"/>
      <c r="L23" s="662"/>
      <c r="M23" s="516">
        <v>241.5</v>
      </c>
      <c r="N23" s="663"/>
      <c r="O23" s="664"/>
      <c r="P23" s="628"/>
      <c r="Q23" s="521"/>
      <c r="R23" s="523"/>
      <c r="S23" s="629"/>
      <c r="T23" s="647">
        <f t="shared" si="4"/>
        <v>0</v>
      </c>
      <c r="U23" s="525"/>
      <c r="V23" s="566">
        <f t="shared" si="5"/>
        <v>0</v>
      </c>
    </row>
    <row r="24" ht="90.0" customHeight="1">
      <c r="B24" s="666" t="s">
        <v>684</v>
      </c>
      <c r="C24" s="567"/>
      <c r="D24" s="525">
        <v>1.0</v>
      </c>
      <c r="E24" s="525" t="s">
        <v>680</v>
      </c>
      <c r="F24" s="45" t="s">
        <v>685</v>
      </c>
      <c r="G24" s="565">
        <v>206.5</v>
      </c>
      <c r="H24" s="517"/>
      <c r="I24" s="518"/>
      <c r="J24" s="519"/>
      <c r="K24" s="520"/>
      <c r="L24" s="662"/>
      <c r="M24" s="516">
        <v>241.5</v>
      </c>
      <c r="N24" s="663"/>
      <c r="O24" s="664"/>
      <c r="P24" s="628"/>
      <c r="Q24" s="521"/>
      <c r="R24" s="523"/>
      <c r="S24" s="629"/>
      <c r="T24" s="647">
        <f t="shared" si="4"/>
        <v>0</v>
      </c>
      <c r="U24" s="525"/>
      <c r="V24" s="566">
        <f t="shared" si="5"/>
        <v>0</v>
      </c>
    </row>
    <row r="25" ht="90.0" customHeight="1">
      <c r="B25" s="666" t="s">
        <v>686</v>
      </c>
      <c r="C25" s="80"/>
      <c r="D25" s="525">
        <v>1.0</v>
      </c>
      <c r="E25" s="525" t="s">
        <v>687</v>
      </c>
      <c r="F25" s="45" t="s">
        <v>688</v>
      </c>
      <c r="G25" s="565">
        <v>157.5</v>
      </c>
      <c r="H25" s="517"/>
      <c r="I25" s="518"/>
      <c r="J25" s="519"/>
      <c r="K25" s="520"/>
      <c r="L25" s="662"/>
      <c r="M25" s="516">
        <v>185.5</v>
      </c>
      <c r="N25" s="663"/>
      <c r="O25" s="664"/>
      <c r="P25" s="628"/>
      <c r="Q25" s="521"/>
      <c r="R25" s="523"/>
      <c r="S25" s="629"/>
      <c r="T25" s="647">
        <f t="shared" si="4"/>
        <v>0</v>
      </c>
      <c r="U25" s="525">
        <f>T25*1.555</f>
        <v>0</v>
      </c>
      <c r="V25" s="566">
        <f t="shared" si="5"/>
        <v>0</v>
      </c>
    </row>
    <row r="26" ht="90.0" customHeight="1">
      <c r="B26" s="666" t="s">
        <v>689</v>
      </c>
      <c r="C26" s="80"/>
      <c r="D26" s="525">
        <v>1.0</v>
      </c>
      <c r="E26" s="525" t="s">
        <v>690</v>
      </c>
      <c r="F26" s="45" t="s">
        <v>691</v>
      </c>
      <c r="G26" s="565">
        <v>157.5</v>
      </c>
      <c r="H26" s="517"/>
      <c r="I26" s="518"/>
      <c r="J26" s="519"/>
      <c r="K26" s="520"/>
      <c r="L26" s="662"/>
      <c r="M26" s="516">
        <v>185.5</v>
      </c>
      <c r="N26" s="663"/>
      <c r="O26" s="664"/>
      <c r="P26" s="628"/>
      <c r="Q26" s="521"/>
      <c r="R26" s="523"/>
      <c r="S26" s="629"/>
      <c r="T26" s="647">
        <f t="shared" si="4"/>
        <v>0</v>
      </c>
      <c r="U26" s="525">
        <f>T26*1.599</f>
        <v>0</v>
      </c>
      <c r="V26" s="566">
        <f t="shared" si="5"/>
        <v>0</v>
      </c>
    </row>
    <row r="27" ht="90.0" customHeight="1">
      <c r="B27" s="666" t="s">
        <v>692</v>
      </c>
      <c r="C27" s="80"/>
      <c r="D27" s="525">
        <v>1.0</v>
      </c>
      <c r="E27" s="525" t="s">
        <v>693</v>
      </c>
      <c r="F27" s="45" t="s">
        <v>694</v>
      </c>
      <c r="G27" s="565">
        <v>157.5</v>
      </c>
      <c r="H27" s="517"/>
      <c r="I27" s="518"/>
      <c r="J27" s="519"/>
      <c r="K27" s="520"/>
      <c r="L27" s="662"/>
      <c r="M27" s="516">
        <v>185.5</v>
      </c>
      <c r="N27" s="663"/>
      <c r="O27" s="664"/>
      <c r="P27" s="628"/>
      <c r="Q27" s="521"/>
      <c r="R27" s="523"/>
      <c r="S27" s="629"/>
      <c r="T27" s="647">
        <f t="shared" si="4"/>
        <v>0</v>
      </c>
      <c r="U27" s="525">
        <f>T27*1.564</f>
        <v>0</v>
      </c>
      <c r="V27" s="566">
        <f t="shared" si="5"/>
        <v>0</v>
      </c>
    </row>
    <row r="28" ht="90.0" customHeight="1">
      <c r="B28" s="666" t="s">
        <v>695</v>
      </c>
      <c r="C28" s="80"/>
      <c r="D28" s="525">
        <v>1.0</v>
      </c>
      <c r="E28" s="525" t="s">
        <v>696</v>
      </c>
      <c r="F28" s="45" t="s">
        <v>697</v>
      </c>
      <c r="G28" s="565">
        <v>157.5</v>
      </c>
      <c r="H28" s="517"/>
      <c r="I28" s="518"/>
      <c r="J28" s="519"/>
      <c r="K28" s="520"/>
      <c r="L28" s="662"/>
      <c r="M28" s="516">
        <v>185.5</v>
      </c>
      <c r="N28" s="663"/>
      <c r="O28" s="664"/>
      <c r="P28" s="628"/>
      <c r="Q28" s="521"/>
      <c r="R28" s="523"/>
      <c r="S28" s="629"/>
      <c r="T28" s="647">
        <f t="shared" si="4"/>
        <v>0</v>
      </c>
      <c r="U28" s="525">
        <f>T28*1.357</f>
        <v>0</v>
      </c>
      <c r="V28" s="566">
        <f t="shared" si="5"/>
        <v>0</v>
      </c>
    </row>
    <row r="29" ht="90.0" customHeight="1">
      <c r="B29" s="666" t="s">
        <v>698</v>
      </c>
      <c r="C29" s="80"/>
      <c r="D29" s="525">
        <v>1.0</v>
      </c>
      <c r="E29" s="525" t="s">
        <v>699</v>
      </c>
      <c r="F29" s="45" t="s">
        <v>700</v>
      </c>
      <c r="G29" s="565">
        <v>157.5</v>
      </c>
      <c r="H29" s="517"/>
      <c r="I29" s="518"/>
      <c r="J29" s="519"/>
      <c r="K29" s="520"/>
      <c r="L29" s="662"/>
      <c r="M29" s="516">
        <v>185.5</v>
      </c>
      <c r="N29" s="663"/>
      <c r="O29" s="664"/>
      <c r="P29" s="628"/>
      <c r="Q29" s="521"/>
      <c r="R29" s="523"/>
      <c r="S29" s="629"/>
      <c r="T29" s="647">
        <f t="shared" si="4"/>
        <v>0</v>
      </c>
      <c r="U29" s="525">
        <f>T29*1.613</f>
        <v>0</v>
      </c>
      <c r="V29" s="566">
        <f t="shared" si="5"/>
        <v>0</v>
      </c>
    </row>
    <row r="30" ht="90.0" customHeight="1">
      <c r="B30" s="666" t="s">
        <v>701</v>
      </c>
      <c r="C30" s="80"/>
      <c r="D30" s="525">
        <v>1.0</v>
      </c>
      <c r="E30" s="525" t="s">
        <v>702</v>
      </c>
      <c r="F30" s="45" t="s">
        <v>703</v>
      </c>
      <c r="G30" s="565">
        <v>157.5</v>
      </c>
      <c r="H30" s="517"/>
      <c r="I30" s="518"/>
      <c r="J30" s="519"/>
      <c r="K30" s="520"/>
      <c r="L30" s="662"/>
      <c r="M30" s="516">
        <v>185.5</v>
      </c>
      <c r="N30" s="663"/>
      <c r="O30" s="664"/>
      <c r="P30" s="628"/>
      <c r="Q30" s="521"/>
      <c r="R30" s="523"/>
      <c r="S30" s="629"/>
      <c r="T30" s="647">
        <f t="shared" si="4"/>
        <v>0</v>
      </c>
      <c r="U30" s="525">
        <f>T30*1.592</f>
        <v>0</v>
      </c>
      <c r="V30" s="566">
        <f t="shared" si="5"/>
        <v>0</v>
      </c>
    </row>
    <row r="31" ht="24.0" customHeight="1">
      <c r="G31" s="597"/>
      <c r="L31" s="688"/>
      <c r="M31" s="689"/>
    </row>
    <row r="32" ht="20.25" customHeight="1">
      <c r="B32" s="690" t="s">
        <v>704</v>
      </c>
      <c r="C32" s="43"/>
      <c r="D32" s="525">
        <f>SUM(D33:D50)</f>
        <v>20</v>
      </c>
      <c r="E32" s="525"/>
      <c r="F32" s="691" t="s">
        <v>512</v>
      </c>
      <c r="G32" s="692">
        <v>3000.0</v>
      </c>
      <c r="H32" s="517"/>
      <c r="I32" s="624"/>
      <c r="J32" s="519"/>
      <c r="K32" s="520"/>
      <c r="L32" s="662"/>
      <c r="M32" s="692">
        <v>3300.0</v>
      </c>
      <c r="N32" s="663"/>
      <c r="O32" s="664"/>
      <c r="P32" s="628"/>
      <c r="Q32" s="528"/>
      <c r="R32" s="693"/>
      <c r="S32" s="629"/>
      <c r="T32" s="647">
        <f>(SUM(H32:L32)+SUM(N32:S32))*D32</f>
        <v>0</v>
      </c>
      <c r="U32" s="647">
        <f>T32*2.444</f>
        <v>0</v>
      </c>
      <c r="V32" s="648">
        <f>(M32*SUM(N32:S32))+G32*(SUM(H32:L32))</f>
        <v>0</v>
      </c>
    </row>
    <row r="33" ht="90.0" customHeight="1">
      <c r="B33" s="694" t="s">
        <v>705</v>
      </c>
      <c r="C33" s="80"/>
      <c r="D33" s="525">
        <v>1.0</v>
      </c>
      <c r="E33" s="525" t="s">
        <v>706</v>
      </c>
      <c r="F33" s="45" t="s">
        <v>707</v>
      </c>
      <c r="G33" s="565">
        <v>184.0</v>
      </c>
      <c r="H33" s="517"/>
      <c r="I33" s="518"/>
      <c r="J33" s="519"/>
      <c r="K33" s="574"/>
      <c r="L33" s="662"/>
      <c r="M33" s="565">
        <f t="shared" ref="M33:M50" si="6">G33*1.11</f>
        <v>204.24</v>
      </c>
      <c r="N33" s="663"/>
      <c r="O33" s="664"/>
      <c r="P33" s="628"/>
      <c r="Q33" s="521"/>
      <c r="R33" s="523"/>
      <c r="S33" s="629"/>
      <c r="T33" s="647">
        <f t="shared" ref="T33:T50" si="7">SUM(H33:L33)+SUM(N33:S33)</f>
        <v>0</v>
      </c>
      <c r="U33" s="525">
        <f t="shared" ref="U33:U50" si="8">T33*1.592</f>
        <v>0</v>
      </c>
      <c r="V33" s="566">
        <f t="shared" ref="V33:V50" si="9">T33*G33</f>
        <v>0</v>
      </c>
    </row>
    <row r="34" ht="90.0" customHeight="1">
      <c r="B34" s="694" t="s">
        <v>708</v>
      </c>
      <c r="C34" s="80"/>
      <c r="D34" s="525">
        <v>1.0</v>
      </c>
      <c r="E34" s="525" t="s">
        <v>709</v>
      </c>
      <c r="F34" s="45" t="s">
        <v>710</v>
      </c>
      <c r="G34" s="565">
        <v>174.0</v>
      </c>
      <c r="H34" s="517"/>
      <c r="I34" s="518"/>
      <c r="J34" s="519"/>
      <c r="K34" s="574"/>
      <c r="L34" s="662"/>
      <c r="M34" s="565">
        <f t="shared" si="6"/>
        <v>193.14</v>
      </c>
      <c r="N34" s="663"/>
      <c r="O34" s="664"/>
      <c r="P34" s="628"/>
      <c r="Q34" s="521"/>
      <c r="R34" s="523"/>
      <c r="S34" s="629"/>
      <c r="T34" s="647">
        <f t="shared" si="7"/>
        <v>0</v>
      </c>
      <c r="U34" s="525">
        <f t="shared" si="8"/>
        <v>0</v>
      </c>
      <c r="V34" s="566">
        <f t="shared" si="9"/>
        <v>0</v>
      </c>
    </row>
    <row r="35" ht="90.0" customHeight="1">
      <c r="B35" s="694" t="s">
        <v>711</v>
      </c>
      <c r="C35" s="80"/>
      <c r="D35" s="525">
        <v>1.0</v>
      </c>
      <c r="E35" s="525" t="s">
        <v>712</v>
      </c>
      <c r="F35" s="45" t="s">
        <v>713</v>
      </c>
      <c r="G35" s="565">
        <v>158.0</v>
      </c>
      <c r="H35" s="517"/>
      <c r="I35" s="518"/>
      <c r="J35" s="519"/>
      <c r="K35" s="574"/>
      <c r="L35" s="662"/>
      <c r="M35" s="565">
        <f t="shared" si="6"/>
        <v>175.38</v>
      </c>
      <c r="N35" s="663"/>
      <c r="O35" s="664"/>
      <c r="P35" s="628"/>
      <c r="Q35" s="521"/>
      <c r="R35" s="523"/>
      <c r="S35" s="629"/>
      <c r="T35" s="647">
        <f t="shared" si="7"/>
        <v>0</v>
      </c>
      <c r="U35" s="525">
        <f t="shared" si="8"/>
        <v>0</v>
      </c>
      <c r="V35" s="566">
        <f t="shared" si="9"/>
        <v>0</v>
      </c>
    </row>
    <row r="36" ht="90.0" customHeight="1">
      <c r="B36" s="694" t="s">
        <v>714</v>
      </c>
      <c r="C36" s="80"/>
      <c r="D36" s="525">
        <v>1.0</v>
      </c>
      <c r="E36" s="525"/>
      <c r="F36" s="45" t="s">
        <v>715</v>
      </c>
      <c r="G36" s="565">
        <v>159.0</v>
      </c>
      <c r="H36" s="517"/>
      <c r="I36" s="518"/>
      <c r="J36" s="519"/>
      <c r="K36" s="574"/>
      <c r="L36" s="662"/>
      <c r="M36" s="565">
        <f t="shared" si="6"/>
        <v>176.49</v>
      </c>
      <c r="N36" s="663"/>
      <c r="O36" s="664"/>
      <c r="P36" s="628"/>
      <c r="Q36" s="521"/>
      <c r="R36" s="523"/>
      <c r="S36" s="629"/>
      <c r="T36" s="647">
        <f t="shared" si="7"/>
        <v>0</v>
      </c>
      <c r="U36" s="525">
        <f t="shared" si="8"/>
        <v>0</v>
      </c>
      <c r="V36" s="566">
        <f t="shared" si="9"/>
        <v>0</v>
      </c>
    </row>
    <row r="37" ht="90.0" customHeight="1">
      <c r="B37" s="694" t="s">
        <v>716</v>
      </c>
      <c r="C37" s="80"/>
      <c r="D37" s="525">
        <v>1.0</v>
      </c>
      <c r="E37" s="525"/>
      <c r="F37" s="45" t="s">
        <v>717</v>
      </c>
      <c r="G37" s="565">
        <v>159.0</v>
      </c>
      <c r="H37" s="665"/>
      <c r="I37" s="518"/>
      <c r="J37" s="519"/>
      <c r="K37" s="520"/>
      <c r="L37" s="662"/>
      <c r="M37" s="565">
        <f t="shared" si="6"/>
        <v>176.49</v>
      </c>
      <c r="N37" s="695"/>
      <c r="O37" s="664"/>
      <c r="P37" s="628"/>
      <c r="Q37" s="521"/>
      <c r="R37" s="523"/>
      <c r="S37" s="629"/>
      <c r="T37" s="647">
        <f t="shared" si="7"/>
        <v>0</v>
      </c>
      <c r="U37" s="525">
        <f t="shared" si="8"/>
        <v>0</v>
      </c>
      <c r="V37" s="566">
        <f t="shared" si="9"/>
        <v>0</v>
      </c>
    </row>
    <row r="38" ht="90.0" customHeight="1">
      <c r="B38" s="694" t="s">
        <v>718</v>
      </c>
      <c r="C38" s="80"/>
      <c r="D38" s="525">
        <v>1.0</v>
      </c>
      <c r="E38" s="525" t="s">
        <v>719</v>
      </c>
      <c r="F38" s="45" t="s">
        <v>720</v>
      </c>
      <c r="G38" s="565">
        <v>188.0</v>
      </c>
      <c r="H38" s="517"/>
      <c r="I38" s="518"/>
      <c r="J38" s="519"/>
      <c r="K38" s="520"/>
      <c r="L38" s="662"/>
      <c r="M38" s="565">
        <f t="shared" si="6"/>
        <v>208.68</v>
      </c>
      <c r="N38" s="663"/>
      <c r="O38" s="664"/>
      <c r="P38" s="628"/>
      <c r="Q38" s="521"/>
      <c r="R38" s="523"/>
      <c r="S38" s="629"/>
      <c r="T38" s="647">
        <f t="shared" si="7"/>
        <v>0</v>
      </c>
      <c r="U38" s="525">
        <f t="shared" si="8"/>
        <v>0</v>
      </c>
      <c r="V38" s="566">
        <f t="shared" si="9"/>
        <v>0</v>
      </c>
    </row>
    <row r="39" ht="90.0" customHeight="1">
      <c r="B39" s="694" t="s">
        <v>721</v>
      </c>
      <c r="C39" s="80"/>
      <c r="D39" s="525">
        <v>1.0</v>
      </c>
      <c r="E39" s="525"/>
      <c r="F39" s="45" t="s">
        <v>722</v>
      </c>
      <c r="G39" s="565">
        <v>159.0</v>
      </c>
      <c r="H39" s="517"/>
      <c r="I39" s="518"/>
      <c r="J39" s="519"/>
      <c r="K39" s="520"/>
      <c r="L39" s="662"/>
      <c r="M39" s="565">
        <f t="shared" si="6"/>
        <v>176.49</v>
      </c>
      <c r="N39" s="663"/>
      <c r="O39" s="664"/>
      <c r="P39" s="628"/>
      <c r="Q39" s="521"/>
      <c r="R39" s="523"/>
      <c r="S39" s="629"/>
      <c r="T39" s="647">
        <f t="shared" si="7"/>
        <v>0</v>
      </c>
      <c r="U39" s="525">
        <f t="shared" si="8"/>
        <v>0</v>
      </c>
      <c r="V39" s="566">
        <f t="shared" si="9"/>
        <v>0</v>
      </c>
    </row>
    <row r="40" ht="90.0" customHeight="1">
      <c r="B40" s="694" t="s">
        <v>723</v>
      </c>
      <c r="C40" s="80"/>
      <c r="D40" s="525">
        <v>1.0</v>
      </c>
      <c r="E40" s="525"/>
      <c r="F40" s="45" t="s">
        <v>724</v>
      </c>
      <c r="G40" s="565">
        <v>159.0</v>
      </c>
      <c r="H40" s="517"/>
      <c r="I40" s="518"/>
      <c r="J40" s="519"/>
      <c r="K40" s="520"/>
      <c r="L40" s="662"/>
      <c r="M40" s="565">
        <f t="shared" si="6"/>
        <v>176.49</v>
      </c>
      <c r="N40" s="663"/>
      <c r="O40" s="664"/>
      <c r="P40" s="628"/>
      <c r="Q40" s="521"/>
      <c r="R40" s="523"/>
      <c r="S40" s="629"/>
      <c r="T40" s="647">
        <f t="shared" si="7"/>
        <v>0</v>
      </c>
      <c r="U40" s="525">
        <f t="shared" si="8"/>
        <v>0</v>
      </c>
      <c r="V40" s="566">
        <f t="shared" si="9"/>
        <v>0</v>
      </c>
    </row>
    <row r="41" ht="90.0" customHeight="1">
      <c r="B41" s="694" t="s">
        <v>725</v>
      </c>
      <c r="C41" s="80"/>
      <c r="D41" s="525">
        <v>4.0</v>
      </c>
      <c r="E41" s="305" t="s">
        <v>726</v>
      </c>
      <c r="F41" s="119" t="s">
        <v>727</v>
      </c>
      <c r="G41" s="565">
        <v>558.0</v>
      </c>
      <c r="H41" s="517"/>
      <c r="I41" s="518"/>
      <c r="J41" s="519"/>
      <c r="K41" s="520"/>
      <c r="L41" s="662"/>
      <c r="M41" s="565">
        <f t="shared" si="6"/>
        <v>619.38</v>
      </c>
      <c r="N41" s="663"/>
      <c r="O41" s="664"/>
      <c r="P41" s="628"/>
      <c r="Q41" s="521"/>
      <c r="R41" s="523"/>
      <c r="S41" s="629"/>
      <c r="T41" s="647">
        <f t="shared" si="7"/>
        <v>0</v>
      </c>
      <c r="U41" s="525">
        <f t="shared" si="8"/>
        <v>0</v>
      </c>
      <c r="V41" s="566">
        <f t="shared" si="9"/>
        <v>0</v>
      </c>
    </row>
    <row r="42" ht="2.25" customHeight="1">
      <c r="B42" s="694" t="s">
        <v>728</v>
      </c>
      <c r="C42" s="80"/>
      <c r="D42" s="525"/>
      <c r="E42" s="525"/>
      <c r="F42" s="45"/>
      <c r="G42" s="565">
        <v>0.0</v>
      </c>
      <c r="H42" s="303"/>
      <c r="I42" s="303"/>
      <c r="J42" s="303"/>
      <c r="K42" s="696"/>
      <c r="L42" s="662"/>
      <c r="M42" s="565">
        <f t="shared" si="6"/>
        <v>0</v>
      </c>
      <c r="N42" s="697"/>
      <c r="O42" s="303"/>
      <c r="P42" s="303"/>
      <c r="Q42" s="303"/>
      <c r="R42" s="696"/>
      <c r="S42" s="303"/>
      <c r="T42" s="647">
        <f t="shared" si="7"/>
        <v>0</v>
      </c>
      <c r="U42" s="525">
        <f t="shared" si="8"/>
        <v>0</v>
      </c>
      <c r="V42" s="566">
        <f t="shared" si="9"/>
        <v>0</v>
      </c>
    </row>
    <row r="43" ht="90.0" customHeight="1">
      <c r="B43" s="694" t="s">
        <v>728</v>
      </c>
      <c r="C43" s="80"/>
      <c r="D43" s="525">
        <v>1.0</v>
      </c>
      <c r="E43" s="525" t="s">
        <v>729</v>
      </c>
      <c r="F43" s="45" t="s">
        <v>730</v>
      </c>
      <c r="G43" s="565">
        <v>178.0</v>
      </c>
      <c r="H43" s="517"/>
      <c r="I43" s="518"/>
      <c r="J43" s="519"/>
      <c r="K43" s="520"/>
      <c r="L43" s="662"/>
      <c r="M43" s="565">
        <f t="shared" si="6"/>
        <v>197.58</v>
      </c>
      <c r="N43" s="663"/>
      <c r="O43" s="664"/>
      <c r="P43" s="628"/>
      <c r="Q43" s="521"/>
      <c r="R43" s="523"/>
      <c r="S43" s="629"/>
      <c r="T43" s="647">
        <f t="shared" si="7"/>
        <v>0</v>
      </c>
      <c r="U43" s="525">
        <f t="shared" si="8"/>
        <v>0</v>
      </c>
      <c r="V43" s="566">
        <f t="shared" si="9"/>
        <v>0</v>
      </c>
    </row>
    <row r="44" ht="90.0" customHeight="1">
      <c r="B44" s="694" t="s">
        <v>731</v>
      </c>
      <c r="C44" s="80"/>
      <c r="D44" s="525">
        <v>1.0</v>
      </c>
      <c r="E44" s="525" t="s">
        <v>732</v>
      </c>
      <c r="F44" s="45" t="s">
        <v>733</v>
      </c>
      <c r="G44" s="565">
        <v>190.0</v>
      </c>
      <c r="H44" s="517"/>
      <c r="I44" s="518"/>
      <c r="J44" s="519"/>
      <c r="K44" s="520"/>
      <c r="L44" s="662"/>
      <c r="M44" s="565">
        <f t="shared" si="6"/>
        <v>210.9</v>
      </c>
      <c r="N44" s="663"/>
      <c r="O44" s="664"/>
      <c r="P44" s="628"/>
      <c r="Q44" s="521"/>
      <c r="R44" s="523"/>
      <c r="S44" s="629"/>
      <c r="T44" s="647">
        <f t="shared" si="7"/>
        <v>0</v>
      </c>
      <c r="U44" s="525">
        <f t="shared" si="8"/>
        <v>0</v>
      </c>
      <c r="V44" s="566">
        <f t="shared" si="9"/>
        <v>0</v>
      </c>
    </row>
    <row r="45" ht="90.0" customHeight="1">
      <c r="B45" s="694" t="s">
        <v>734</v>
      </c>
      <c r="C45" s="80"/>
      <c r="D45" s="525">
        <v>1.0</v>
      </c>
      <c r="E45" s="698" t="s">
        <v>735</v>
      </c>
      <c r="F45" s="45" t="s">
        <v>736</v>
      </c>
      <c r="G45" s="565">
        <v>200.0</v>
      </c>
      <c r="H45" s="517"/>
      <c r="I45" s="518"/>
      <c r="J45" s="519"/>
      <c r="K45" s="520"/>
      <c r="L45" s="662"/>
      <c r="M45" s="565">
        <f t="shared" si="6"/>
        <v>222</v>
      </c>
      <c r="N45" s="663"/>
      <c r="O45" s="664"/>
      <c r="P45" s="628"/>
      <c r="Q45" s="521"/>
      <c r="R45" s="523"/>
      <c r="S45" s="629"/>
      <c r="T45" s="647">
        <f t="shared" si="7"/>
        <v>0</v>
      </c>
      <c r="U45" s="525">
        <f t="shared" si="8"/>
        <v>0</v>
      </c>
      <c r="V45" s="566">
        <f t="shared" si="9"/>
        <v>0</v>
      </c>
    </row>
    <row r="46" ht="90.0" customHeight="1">
      <c r="B46" s="694" t="s">
        <v>737</v>
      </c>
      <c r="C46" s="80"/>
      <c r="D46" s="525">
        <v>1.0</v>
      </c>
      <c r="E46" s="698" t="s">
        <v>738</v>
      </c>
      <c r="F46" s="45" t="s">
        <v>739</v>
      </c>
      <c r="G46" s="565">
        <v>200.0</v>
      </c>
      <c r="H46" s="517"/>
      <c r="I46" s="518"/>
      <c r="J46" s="519"/>
      <c r="K46" s="520"/>
      <c r="L46" s="662"/>
      <c r="M46" s="565">
        <f t="shared" si="6"/>
        <v>222</v>
      </c>
      <c r="N46" s="663"/>
      <c r="O46" s="664"/>
      <c r="P46" s="628"/>
      <c r="Q46" s="521"/>
      <c r="R46" s="523"/>
      <c r="S46" s="629"/>
      <c r="T46" s="647">
        <f t="shared" si="7"/>
        <v>0</v>
      </c>
      <c r="U46" s="525">
        <f t="shared" si="8"/>
        <v>0</v>
      </c>
      <c r="V46" s="566">
        <f t="shared" si="9"/>
        <v>0</v>
      </c>
    </row>
    <row r="47" ht="90.0" customHeight="1">
      <c r="B47" s="694" t="s">
        <v>740</v>
      </c>
      <c r="C47" s="525" t="s">
        <v>741</v>
      </c>
      <c r="D47" s="525">
        <v>1.0</v>
      </c>
      <c r="E47" s="525" t="s">
        <v>742</v>
      </c>
      <c r="F47" s="45" t="s">
        <v>743</v>
      </c>
      <c r="G47" s="565">
        <v>159.0</v>
      </c>
      <c r="H47" s="517"/>
      <c r="I47" s="518"/>
      <c r="J47" s="519"/>
      <c r="K47" s="520"/>
      <c r="L47" s="662"/>
      <c r="M47" s="565">
        <f t="shared" si="6"/>
        <v>176.49</v>
      </c>
      <c r="N47" s="663"/>
      <c r="O47" s="664"/>
      <c r="P47" s="628"/>
      <c r="Q47" s="521"/>
      <c r="R47" s="523"/>
      <c r="S47" s="629"/>
      <c r="T47" s="647">
        <f t="shared" si="7"/>
        <v>0</v>
      </c>
      <c r="U47" s="525">
        <f t="shared" si="8"/>
        <v>0</v>
      </c>
      <c r="V47" s="566">
        <f t="shared" si="9"/>
        <v>0</v>
      </c>
    </row>
    <row r="48" ht="90.0" customHeight="1">
      <c r="B48" s="694" t="s">
        <v>744</v>
      </c>
      <c r="C48" s="80"/>
      <c r="D48" s="525">
        <v>1.0</v>
      </c>
      <c r="E48" s="525" t="s">
        <v>745</v>
      </c>
      <c r="F48" s="45" t="s">
        <v>746</v>
      </c>
      <c r="G48" s="565">
        <v>158.0</v>
      </c>
      <c r="H48" s="517"/>
      <c r="I48" s="518"/>
      <c r="J48" s="519"/>
      <c r="K48" s="520"/>
      <c r="L48" s="662"/>
      <c r="M48" s="565">
        <f t="shared" si="6"/>
        <v>175.38</v>
      </c>
      <c r="N48" s="663"/>
      <c r="O48" s="664"/>
      <c r="P48" s="628"/>
      <c r="Q48" s="521"/>
      <c r="R48" s="523"/>
      <c r="S48" s="629"/>
      <c r="T48" s="647">
        <f t="shared" si="7"/>
        <v>0</v>
      </c>
      <c r="U48" s="525">
        <f t="shared" si="8"/>
        <v>0</v>
      </c>
      <c r="V48" s="566">
        <f t="shared" si="9"/>
        <v>0</v>
      </c>
    </row>
    <row r="49" ht="90.0" customHeight="1">
      <c r="B49" s="694" t="s">
        <v>747</v>
      </c>
      <c r="C49" s="80"/>
      <c r="D49" s="525">
        <v>1.0</v>
      </c>
      <c r="E49" s="525"/>
      <c r="F49" s="45" t="s">
        <v>748</v>
      </c>
      <c r="G49" s="565">
        <v>159.0</v>
      </c>
      <c r="H49" s="517"/>
      <c r="I49" s="518"/>
      <c r="J49" s="519"/>
      <c r="K49" s="520"/>
      <c r="L49" s="662"/>
      <c r="M49" s="565">
        <f t="shared" si="6"/>
        <v>176.49</v>
      </c>
      <c r="N49" s="663"/>
      <c r="O49" s="664"/>
      <c r="P49" s="628"/>
      <c r="Q49" s="521"/>
      <c r="R49" s="523"/>
      <c r="S49" s="629"/>
      <c r="T49" s="647">
        <f t="shared" si="7"/>
        <v>0</v>
      </c>
      <c r="U49" s="525">
        <f t="shared" si="8"/>
        <v>0</v>
      </c>
      <c r="V49" s="566">
        <f t="shared" si="9"/>
        <v>0</v>
      </c>
    </row>
    <row r="50" ht="90.0" customHeight="1">
      <c r="B50" s="694" t="s">
        <v>749</v>
      </c>
      <c r="C50" s="699"/>
      <c r="D50" s="700">
        <v>1.0</v>
      </c>
      <c r="E50" s="700"/>
      <c r="F50" s="701" t="s">
        <v>750</v>
      </c>
      <c r="G50" s="702">
        <v>159.0</v>
      </c>
      <c r="H50" s="703"/>
      <c r="I50" s="704"/>
      <c r="J50" s="705"/>
      <c r="K50" s="706"/>
      <c r="L50" s="707"/>
      <c r="M50" s="565">
        <f t="shared" si="6"/>
        <v>176.49</v>
      </c>
      <c r="N50" s="708"/>
      <c r="O50" s="709"/>
      <c r="P50" s="710"/>
      <c r="Q50" s="711"/>
      <c r="R50" s="712"/>
      <c r="S50" s="713"/>
      <c r="T50" s="647">
        <f t="shared" si="7"/>
        <v>0</v>
      </c>
      <c r="U50" s="525">
        <f t="shared" si="8"/>
        <v>0</v>
      </c>
      <c r="V50" s="566">
        <f t="shared" si="9"/>
        <v>0</v>
      </c>
    </row>
    <row r="51" ht="15.75" customHeight="1">
      <c r="G51" s="597"/>
      <c r="H51" s="714">
        <f t="shared" ref="H51:K51" si="10">SUM(H8:H50)</f>
        <v>0</v>
      </c>
      <c r="I51" s="714">
        <f t="shared" si="10"/>
        <v>0</v>
      </c>
      <c r="J51" s="714">
        <f t="shared" si="10"/>
        <v>0</v>
      </c>
      <c r="K51" s="714">
        <f t="shared" si="10"/>
        <v>0</v>
      </c>
      <c r="L51" s="714"/>
      <c r="M51" s="80"/>
      <c r="N51" s="715">
        <f t="shared" ref="N51:V51" si="11">SUM(N8:N50)</f>
        <v>0</v>
      </c>
      <c r="O51" s="714">
        <f t="shared" si="11"/>
        <v>0</v>
      </c>
      <c r="P51" s="714">
        <f t="shared" si="11"/>
        <v>0</v>
      </c>
      <c r="Q51" s="714">
        <f t="shared" si="11"/>
        <v>0</v>
      </c>
      <c r="R51" s="714">
        <f t="shared" si="11"/>
        <v>0</v>
      </c>
      <c r="S51" s="714">
        <f t="shared" si="11"/>
        <v>0</v>
      </c>
      <c r="T51" s="714">
        <f t="shared" si="11"/>
        <v>0</v>
      </c>
      <c r="U51" s="714">
        <f t="shared" si="11"/>
        <v>0</v>
      </c>
      <c r="V51" s="716">
        <f t="shared" si="11"/>
        <v>0</v>
      </c>
    </row>
    <row r="52" ht="15.75" customHeight="1">
      <c r="G52" s="597"/>
    </row>
    <row r="53" ht="15.75" customHeight="1">
      <c r="G53" s="597"/>
    </row>
    <row r="54" ht="15.75" customHeight="1">
      <c r="G54" s="597"/>
    </row>
    <row r="55" ht="15.75" customHeight="1">
      <c r="G55" s="597"/>
    </row>
    <row r="56" ht="15.75" customHeight="1">
      <c r="G56" s="597"/>
    </row>
    <row r="57" ht="15.75" customHeight="1">
      <c r="G57" s="597"/>
    </row>
    <row r="58" ht="15.75" customHeight="1">
      <c r="G58" s="597"/>
    </row>
    <row r="59" ht="15.75" customHeight="1">
      <c r="G59" s="597"/>
    </row>
    <row r="60" ht="15.75" customHeight="1">
      <c r="G60" s="597"/>
    </row>
    <row r="61" ht="15.75" customHeight="1">
      <c r="G61" s="597"/>
    </row>
    <row r="62" ht="15.75" customHeight="1">
      <c r="G62" s="597"/>
    </row>
    <row r="63" ht="15.75" customHeight="1">
      <c r="G63" s="597"/>
    </row>
    <row r="64" ht="15.75" customHeight="1">
      <c r="G64" s="597"/>
    </row>
    <row r="65" ht="15.75" customHeight="1">
      <c r="G65" s="597"/>
    </row>
    <row r="66" ht="15.75" customHeight="1">
      <c r="G66" s="597"/>
    </row>
    <row r="67" ht="15.75" customHeight="1">
      <c r="G67" s="597"/>
    </row>
    <row r="68" ht="15.75" customHeight="1">
      <c r="G68" s="597"/>
    </row>
    <row r="69" ht="15.75" customHeight="1">
      <c r="G69" s="597"/>
    </row>
    <row r="70" ht="15.75" customHeight="1">
      <c r="G70" s="597"/>
    </row>
    <row r="71" ht="15.75" customHeight="1">
      <c r="G71" s="597"/>
    </row>
    <row r="72" ht="15.75" customHeight="1">
      <c r="G72" s="597"/>
    </row>
    <row r="73" ht="15.75" customHeight="1">
      <c r="G73" s="597"/>
    </row>
    <row r="74" ht="15.75" customHeight="1">
      <c r="G74" s="597"/>
    </row>
    <row r="75" ht="15.75" customHeight="1">
      <c r="G75" s="597"/>
    </row>
    <row r="76" ht="15.75" customHeight="1">
      <c r="G76" s="597"/>
    </row>
    <row r="77" ht="15.75" customHeight="1">
      <c r="G77" s="597"/>
    </row>
    <row r="78" ht="15.75" customHeight="1">
      <c r="G78" s="597"/>
    </row>
    <row r="79" ht="15.75" customHeight="1">
      <c r="G79" s="597"/>
    </row>
    <row r="80" ht="15.75" customHeight="1">
      <c r="G80" s="597"/>
    </row>
    <row r="81" ht="15.75" customHeight="1">
      <c r="G81" s="597"/>
    </row>
    <row r="82" ht="15.75" customHeight="1">
      <c r="G82" s="597"/>
    </row>
    <row r="83" ht="15.75" customHeight="1">
      <c r="G83" s="597"/>
    </row>
    <row r="84" ht="15.75" customHeight="1">
      <c r="G84" s="597"/>
    </row>
    <row r="85" ht="15.75" customHeight="1">
      <c r="G85" s="597"/>
    </row>
    <row r="86" ht="15.75" customHeight="1">
      <c r="G86" s="597"/>
    </row>
    <row r="87" ht="15.75" customHeight="1">
      <c r="G87" s="597"/>
    </row>
    <row r="88" ht="15.75" customHeight="1">
      <c r="G88" s="597"/>
    </row>
    <row r="89" ht="15.75" customHeight="1">
      <c r="G89" s="597"/>
    </row>
    <row r="90" ht="15.75" customHeight="1">
      <c r="G90" s="597"/>
    </row>
    <row r="91" ht="15.75" customHeight="1">
      <c r="G91" s="597"/>
    </row>
    <row r="92" ht="15.75" customHeight="1">
      <c r="G92" s="597"/>
    </row>
    <row r="93" ht="15.75" customHeight="1">
      <c r="G93" s="597"/>
    </row>
    <row r="94" ht="15.75" customHeight="1">
      <c r="G94" s="597"/>
    </row>
    <row r="95" ht="15.75" customHeight="1">
      <c r="G95" s="597"/>
    </row>
    <row r="96" ht="15.75" customHeight="1">
      <c r="G96" s="597"/>
    </row>
    <row r="97" ht="15.75" customHeight="1">
      <c r="G97" s="597"/>
    </row>
    <row r="98" ht="15.75" customHeight="1">
      <c r="G98" s="597"/>
    </row>
    <row r="99" ht="15.75" customHeight="1">
      <c r="G99" s="597"/>
    </row>
    <row r="100" ht="15.75" customHeight="1">
      <c r="G100" s="597"/>
    </row>
    <row r="101" ht="15.75" customHeight="1">
      <c r="G101" s="597"/>
    </row>
    <row r="102" ht="15.75" customHeight="1">
      <c r="G102" s="597"/>
    </row>
    <row r="103" ht="15.75" customHeight="1">
      <c r="G103" s="597"/>
    </row>
    <row r="104" ht="15.75" customHeight="1">
      <c r="G104" s="597"/>
    </row>
    <row r="105" ht="15.75" customHeight="1">
      <c r="G105" s="597"/>
    </row>
    <row r="106" ht="15.75" customHeight="1">
      <c r="G106" s="597"/>
    </row>
    <row r="107" ht="15.75" customHeight="1">
      <c r="G107" s="597"/>
    </row>
    <row r="108" ht="15.75" customHeight="1">
      <c r="G108" s="597"/>
    </row>
    <row r="109" ht="15.75" customHeight="1">
      <c r="G109" s="597"/>
    </row>
    <row r="110" ht="15.75" customHeight="1">
      <c r="G110" s="597"/>
    </row>
    <row r="111" ht="15.75" customHeight="1">
      <c r="G111" s="597"/>
    </row>
    <row r="112" ht="15.75" customHeight="1">
      <c r="G112" s="597"/>
    </row>
    <row r="113" ht="15.75" customHeight="1">
      <c r="G113" s="597"/>
    </row>
    <row r="114" ht="15.75" customHeight="1">
      <c r="G114" s="597"/>
    </row>
    <row r="115" ht="15.75" customHeight="1">
      <c r="G115" s="597"/>
    </row>
    <row r="116" ht="15.75" customHeight="1">
      <c r="G116" s="597"/>
    </row>
    <row r="117" ht="15.75" customHeight="1">
      <c r="G117" s="597"/>
    </row>
    <row r="118" ht="15.75" customHeight="1">
      <c r="G118" s="597"/>
    </row>
    <row r="119" ht="15.75" customHeight="1">
      <c r="G119" s="597"/>
    </row>
    <row r="120" ht="15.75" customHeight="1">
      <c r="G120" s="597"/>
    </row>
    <row r="121" ht="15.75" customHeight="1">
      <c r="G121" s="597"/>
    </row>
    <row r="122" ht="15.75" customHeight="1">
      <c r="G122" s="597"/>
    </row>
    <row r="123" ht="15.75" customHeight="1">
      <c r="G123" s="597"/>
    </row>
    <row r="124" ht="15.75" customHeight="1">
      <c r="G124" s="597"/>
    </row>
    <row r="125" ht="15.75" customHeight="1">
      <c r="G125" s="597"/>
    </row>
    <row r="126" ht="15.75" customHeight="1">
      <c r="G126" s="597"/>
    </row>
    <row r="127" ht="15.75" customHeight="1">
      <c r="G127" s="597"/>
    </row>
    <row r="128" ht="15.75" customHeight="1">
      <c r="G128" s="597"/>
    </row>
    <row r="129" ht="15.75" customHeight="1">
      <c r="G129" s="597"/>
    </row>
    <row r="130" ht="15.75" customHeight="1">
      <c r="G130" s="597"/>
    </row>
    <row r="131" ht="15.75" customHeight="1">
      <c r="G131" s="597"/>
    </row>
    <row r="132" ht="15.75" customHeight="1">
      <c r="G132" s="597"/>
    </row>
    <row r="133" ht="15.75" customHeight="1">
      <c r="G133" s="597"/>
    </row>
    <row r="134" ht="15.75" customHeight="1">
      <c r="G134" s="597"/>
    </row>
    <row r="135" ht="15.75" customHeight="1">
      <c r="G135" s="597"/>
    </row>
    <row r="136" ht="15.75" customHeight="1">
      <c r="G136" s="597"/>
    </row>
    <row r="137" ht="15.75" customHeight="1">
      <c r="G137" s="597"/>
    </row>
    <row r="138" ht="15.75" customHeight="1">
      <c r="G138" s="597"/>
    </row>
    <row r="139" ht="15.75" customHeight="1">
      <c r="G139" s="597"/>
    </row>
    <row r="140" ht="15.75" customHeight="1">
      <c r="G140" s="597"/>
    </row>
    <row r="141" ht="15.75" customHeight="1">
      <c r="G141" s="597"/>
    </row>
    <row r="142" ht="15.75" customHeight="1">
      <c r="G142" s="597"/>
    </row>
    <row r="143" ht="15.75" customHeight="1">
      <c r="G143" s="597"/>
    </row>
    <row r="144" ht="15.75" customHeight="1">
      <c r="G144" s="597"/>
    </row>
    <row r="145" ht="15.75" customHeight="1">
      <c r="G145" s="597"/>
    </row>
    <row r="146" ht="15.75" customHeight="1">
      <c r="G146" s="597"/>
    </row>
    <row r="147" ht="15.75" customHeight="1">
      <c r="G147" s="597"/>
    </row>
    <row r="148" ht="15.75" customHeight="1">
      <c r="G148" s="597"/>
    </row>
    <row r="149" ht="15.75" customHeight="1">
      <c r="G149" s="597"/>
    </row>
    <row r="150" ht="15.75" customHeight="1">
      <c r="G150" s="597"/>
    </row>
    <row r="151" ht="15.75" customHeight="1">
      <c r="G151" s="597"/>
    </row>
    <row r="152" ht="15.75" customHeight="1">
      <c r="G152" s="597"/>
    </row>
    <row r="153" ht="15.75" customHeight="1">
      <c r="G153" s="597"/>
    </row>
    <row r="154" ht="15.75" customHeight="1">
      <c r="G154" s="597"/>
    </row>
    <row r="155" ht="15.75" customHeight="1">
      <c r="G155" s="597"/>
    </row>
    <row r="156" ht="15.75" customHeight="1">
      <c r="G156" s="597"/>
    </row>
    <row r="157" ht="15.75" customHeight="1">
      <c r="G157" s="597"/>
    </row>
    <row r="158" ht="15.75" customHeight="1">
      <c r="G158" s="597"/>
    </row>
    <row r="159" ht="15.75" customHeight="1">
      <c r="G159" s="597"/>
    </row>
    <row r="160" ht="15.75" customHeight="1">
      <c r="G160" s="597"/>
    </row>
    <row r="161" ht="15.75" customHeight="1">
      <c r="G161" s="597"/>
    </row>
    <row r="162" ht="15.75" customHeight="1">
      <c r="G162" s="597"/>
    </row>
    <row r="163" ht="15.75" customHeight="1">
      <c r="G163" s="597"/>
    </row>
    <row r="164" ht="15.75" customHeight="1">
      <c r="G164" s="597"/>
    </row>
    <row r="165" ht="15.75" customHeight="1">
      <c r="G165" s="597"/>
    </row>
    <row r="166" ht="15.75" customHeight="1">
      <c r="G166" s="597"/>
    </row>
    <row r="167" ht="15.75" customHeight="1">
      <c r="G167" s="597"/>
    </row>
    <row r="168" ht="15.75" customHeight="1">
      <c r="G168" s="597"/>
    </row>
    <row r="169" ht="15.75" customHeight="1">
      <c r="G169" s="597"/>
    </row>
    <row r="170" ht="15.75" customHeight="1">
      <c r="G170" s="597"/>
    </row>
    <row r="171" ht="15.75" customHeight="1">
      <c r="G171" s="597"/>
    </row>
    <row r="172" ht="15.75" customHeight="1">
      <c r="G172" s="597"/>
    </row>
    <row r="173" ht="15.75" customHeight="1">
      <c r="G173" s="597"/>
    </row>
    <row r="174" ht="15.75" customHeight="1">
      <c r="G174" s="597"/>
    </row>
    <row r="175" ht="15.75" customHeight="1">
      <c r="G175" s="597"/>
    </row>
    <row r="176" ht="15.75" customHeight="1">
      <c r="G176" s="597"/>
    </row>
    <row r="177" ht="15.75" customHeight="1">
      <c r="G177" s="597"/>
    </row>
    <row r="178" ht="15.75" customHeight="1">
      <c r="G178" s="597"/>
    </row>
    <row r="179" ht="15.75" customHeight="1">
      <c r="G179" s="597"/>
    </row>
    <row r="180" ht="15.75" customHeight="1">
      <c r="G180" s="597"/>
    </row>
    <row r="181" ht="15.75" customHeight="1">
      <c r="G181" s="597"/>
    </row>
    <row r="182" ht="15.75" customHeight="1">
      <c r="G182" s="597"/>
    </row>
    <row r="183" ht="15.75" customHeight="1">
      <c r="G183" s="597"/>
    </row>
    <row r="184" ht="15.75" customHeight="1">
      <c r="G184" s="597"/>
    </row>
    <row r="185" ht="15.75" customHeight="1">
      <c r="G185" s="597"/>
    </row>
    <row r="186" ht="15.75" customHeight="1">
      <c r="G186" s="597"/>
    </row>
    <row r="187" ht="15.75" customHeight="1">
      <c r="G187" s="597"/>
    </row>
    <row r="188" ht="15.75" customHeight="1">
      <c r="G188" s="597"/>
    </row>
    <row r="189" ht="15.75" customHeight="1">
      <c r="G189" s="597"/>
    </row>
    <row r="190" ht="15.75" customHeight="1">
      <c r="G190" s="597"/>
    </row>
    <row r="191" ht="15.75" customHeight="1">
      <c r="G191" s="597"/>
    </row>
    <row r="192" ht="15.75" customHeight="1">
      <c r="G192" s="597"/>
    </row>
    <row r="193" ht="15.75" customHeight="1">
      <c r="G193" s="597"/>
    </row>
    <row r="194" ht="15.75" customHeight="1">
      <c r="G194" s="597"/>
    </row>
    <row r="195" ht="15.75" customHeight="1">
      <c r="G195" s="597"/>
    </row>
    <row r="196" ht="15.75" customHeight="1">
      <c r="G196" s="597"/>
    </row>
    <row r="197" ht="15.75" customHeight="1">
      <c r="G197" s="597"/>
    </row>
    <row r="198" ht="15.75" customHeight="1">
      <c r="G198" s="597"/>
    </row>
    <row r="199" ht="15.75" customHeight="1">
      <c r="G199" s="597"/>
    </row>
    <row r="200" ht="15.75" customHeight="1">
      <c r="G200" s="597"/>
    </row>
    <row r="201" ht="15.75" customHeight="1">
      <c r="G201" s="597"/>
    </row>
    <row r="202" ht="15.75" customHeight="1">
      <c r="G202" s="597"/>
    </row>
    <row r="203" ht="15.75" customHeight="1">
      <c r="G203" s="597"/>
    </row>
    <row r="204" ht="15.75" customHeight="1">
      <c r="G204" s="597"/>
    </row>
    <row r="205" ht="15.75" customHeight="1">
      <c r="G205" s="597"/>
    </row>
    <row r="206" ht="15.75" customHeight="1">
      <c r="G206" s="597"/>
    </row>
    <row r="207" ht="15.75" customHeight="1">
      <c r="G207" s="597"/>
    </row>
    <row r="208" ht="15.75" customHeight="1">
      <c r="G208" s="597"/>
    </row>
    <row r="209" ht="15.75" customHeight="1">
      <c r="G209" s="597"/>
    </row>
    <row r="210" ht="15.75" customHeight="1">
      <c r="G210" s="597"/>
    </row>
    <row r="211" ht="15.75" customHeight="1">
      <c r="G211" s="597"/>
    </row>
    <row r="212" ht="15.75" customHeight="1">
      <c r="G212" s="597"/>
    </row>
    <row r="213" ht="15.75" customHeight="1">
      <c r="G213" s="597"/>
    </row>
    <row r="214" ht="15.75" customHeight="1">
      <c r="G214" s="597"/>
    </row>
    <row r="215" ht="15.75" customHeight="1">
      <c r="G215" s="597"/>
    </row>
    <row r="216" ht="15.75" customHeight="1">
      <c r="G216" s="597"/>
    </row>
    <row r="217" ht="15.75" customHeight="1">
      <c r="G217" s="597"/>
    </row>
    <row r="218" ht="15.75" customHeight="1">
      <c r="G218" s="597"/>
    </row>
    <row r="219" ht="15.75" customHeight="1">
      <c r="G219" s="597"/>
    </row>
    <row r="220" ht="15.75" customHeight="1">
      <c r="G220" s="597"/>
    </row>
    <row r="221" ht="15.75" customHeight="1">
      <c r="G221" s="597"/>
    </row>
    <row r="222" ht="15.75" customHeight="1">
      <c r="G222" s="597"/>
    </row>
    <row r="223" ht="15.75" customHeight="1">
      <c r="G223" s="597"/>
    </row>
    <row r="224" ht="15.75" customHeight="1">
      <c r="G224" s="597"/>
    </row>
    <row r="225" ht="15.75" customHeight="1">
      <c r="G225" s="597"/>
    </row>
    <row r="226" ht="15.75" customHeight="1">
      <c r="G226" s="597"/>
    </row>
    <row r="227" ht="15.75" customHeight="1">
      <c r="G227" s="597"/>
    </row>
    <row r="228" ht="15.75" customHeight="1">
      <c r="G228" s="597"/>
    </row>
    <row r="229" ht="15.75" customHeight="1">
      <c r="G229" s="597"/>
    </row>
    <row r="230" ht="15.75" customHeight="1">
      <c r="G230" s="597"/>
    </row>
    <row r="231" ht="15.75" customHeight="1">
      <c r="G231" s="597"/>
    </row>
    <row r="232" ht="15.75" customHeight="1">
      <c r="G232" s="597"/>
    </row>
    <row r="233" ht="15.75" customHeight="1">
      <c r="G233" s="597"/>
    </row>
    <row r="234" ht="15.75" customHeight="1">
      <c r="G234" s="597"/>
    </row>
    <row r="235" ht="15.75" customHeight="1">
      <c r="G235" s="597"/>
    </row>
    <row r="236" ht="15.75" customHeight="1">
      <c r="G236" s="597"/>
    </row>
    <row r="237" ht="15.75" customHeight="1">
      <c r="G237" s="597"/>
    </row>
    <row r="238" ht="15.75" customHeight="1">
      <c r="G238" s="597"/>
    </row>
    <row r="239" ht="15.75" customHeight="1">
      <c r="G239" s="597"/>
    </row>
    <row r="240" ht="15.75" customHeight="1">
      <c r="G240" s="597"/>
    </row>
    <row r="241" ht="15.75" customHeight="1">
      <c r="G241" s="597"/>
    </row>
    <row r="242" ht="15.75" customHeight="1">
      <c r="G242" s="597"/>
    </row>
    <row r="243" ht="15.75" customHeight="1">
      <c r="G243" s="597"/>
    </row>
    <row r="244" ht="15.75" customHeight="1">
      <c r="G244" s="597"/>
    </row>
    <row r="245" ht="15.75" customHeight="1">
      <c r="G245" s="597"/>
    </row>
    <row r="246" ht="15.75" customHeight="1">
      <c r="G246" s="597"/>
    </row>
    <row r="247" ht="15.75" customHeight="1">
      <c r="G247" s="597"/>
    </row>
    <row r="248" ht="15.75" customHeight="1">
      <c r="G248" s="597"/>
    </row>
    <row r="249" ht="15.75" customHeight="1">
      <c r="G249" s="597"/>
    </row>
    <row r="250" ht="15.75" customHeight="1">
      <c r="G250" s="597"/>
    </row>
    <row r="251" ht="15.75" customHeight="1">
      <c r="G251" s="597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6">
    <mergeCell ref="G2:Q3"/>
    <mergeCell ref="H5:L5"/>
    <mergeCell ref="N5:S5"/>
    <mergeCell ref="B18:C18"/>
    <mergeCell ref="E18:F18"/>
    <mergeCell ref="B32:C32"/>
  </mergeCells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3" max="3" width="16.43"/>
    <col customWidth="1" min="4" max="4" width="9.14"/>
    <col customWidth="1" min="5" max="5" width="10.14"/>
    <col customWidth="1" min="6" max="6" width="11.43"/>
    <col customWidth="1" min="7" max="7" width="12.86"/>
    <col customWidth="1" min="8" max="12" width="9.14"/>
    <col customWidth="1" min="13" max="13" width="12.29"/>
    <col customWidth="1" min="14" max="19" width="8.57"/>
    <col customWidth="1" min="20" max="20" width="9.0"/>
    <col customWidth="1" min="21" max="21" width="9.14"/>
    <col customWidth="1" min="22" max="22" width="12.0"/>
  </cols>
  <sheetData>
    <row r="1">
      <c r="G1" s="597"/>
    </row>
    <row r="2">
      <c r="G2" s="598" t="s">
        <v>751</v>
      </c>
      <c r="R2" s="599"/>
    </row>
    <row r="3">
      <c r="R3" s="599"/>
    </row>
    <row r="4">
      <c r="G4" s="597"/>
      <c r="L4" s="2"/>
      <c r="M4" s="2"/>
      <c r="N4" s="113" t="s">
        <v>643</v>
      </c>
      <c r="O4" s="113" t="s">
        <v>643</v>
      </c>
      <c r="P4" s="113" t="s">
        <v>643</v>
      </c>
    </row>
    <row r="5">
      <c r="B5" s="188" t="s">
        <v>15</v>
      </c>
      <c r="C5" s="189" t="s">
        <v>16</v>
      </c>
      <c r="D5" s="190" t="s">
        <v>17</v>
      </c>
      <c r="E5" s="190" t="s">
        <v>488</v>
      </c>
      <c r="F5" s="190" t="s">
        <v>18</v>
      </c>
      <c r="G5" s="600" t="s">
        <v>644</v>
      </c>
      <c r="H5" s="601" t="s">
        <v>645</v>
      </c>
      <c r="I5" s="602"/>
      <c r="J5" s="602"/>
      <c r="K5" s="602"/>
      <c r="L5" s="603"/>
      <c r="M5" s="604" t="s">
        <v>646</v>
      </c>
      <c r="N5" s="601" t="s">
        <v>645</v>
      </c>
      <c r="O5" s="602"/>
      <c r="P5" s="602"/>
      <c r="Q5" s="602"/>
      <c r="R5" s="602"/>
      <c r="S5" s="603"/>
      <c r="T5" s="37" t="s">
        <v>489</v>
      </c>
      <c r="U5" s="38" t="s">
        <v>22</v>
      </c>
      <c r="V5" s="39" t="s">
        <v>23</v>
      </c>
    </row>
    <row r="6">
      <c r="B6" s="113"/>
      <c r="C6" s="113"/>
      <c r="D6" s="113"/>
      <c r="E6" s="113"/>
      <c r="F6" s="113"/>
      <c r="G6" s="605"/>
      <c r="H6" s="484">
        <v>1018.0</v>
      </c>
      <c r="I6" s="485">
        <v>3020.0</v>
      </c>
      <c r="J6" s="486">
        <v>5015.0</v>
      </c>
      <c r="K6" s="487">
        <v>9005.0</v>
      </c>
      <c r="L6" s="606" t="s">
        <v>647</v>
      </c>
      <c r="M6" s="607"/>
      <c r="N6" s="608">
        <v>2005.0</v>
      </c>
      <c r="O6" s="609">
        <v>6038.0</v>
      </c>
      <c r="P6" s="610">
        <v>3017.0</v>
      </c>
      <c r="Q6" s="488">
        <v>4008.0</v>
      </c>
      <c r="R6" s="490">
        <v>4005.0</v>
      </c>
      <c r="S6" s="491">
        <v>6001.0</v>
      </c>
      <c r="T6" s="611"/>
      <c r="U6" s="611"/>
      <c r="V6" s="611"/>
    </row>
    <row r="7">
      <c r="B7" s="612"/>
      <c r="C7" s="613"/>
      <c r="D7" s="614"/>
      <c r="E7" s="226"/>
      <c r="F7" s="615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7"/>
      <c r="V7" s="618"/>
    </row>
    <row r="8">
      <c r="B8" s="619" t="s">
        <v>752</v>
      </c>
      <c r="C8" s="620"/>
      <c r="D8" s="621"/>
      <c r="E8" s="80"/>
      <c r="F8" s="622"/>
      <c r="G8" s="623">
        <f>G10+G18</f>
        <v>2610</v>
      </c>
      <c r="H8" s="517"/>
      <c r="I8" s="624"/>
      <c r="J8" s="519"/>
      <c r="K8" s="520"/>
      <c r="L8" s="625"/>
      <c r="M8" s="623">
        <f>M10+M18</f>
        <v>2610</v>
      </c>
      <c r="N8" s="626"/>
      <c r="O8" s="627"/>
      <c r="P8" s="628"/>
      <c r="Q8" s="521"/>
      <c r="R8" s="523"/>
      <c r="S8" s="629"/>
      <c r="T8" s="525">
        <f>(SUM(H8:L8)+SUM(N8:S8))*18</f>
        <v>0</v>
      </c>
      <c r="U8" s="525">
        <f>T8*2.444</f>
        <v>0</v>
      </c>
      <c r="V8" s="630">
        <f>(M8*SUM(N8:S8))+G8*(SUM(H8:L8))</f>
        <v>0</v>
      </c>
    </row>
    <row r="9" ht="29.25" customHeight="1"/>
    <row r="10" ht="29.25" customHeight="1">
      <c r="B10" s="717" t="s">
        <v>753</v>
      </c>
      <c r="C10" s="718"/>
      <c r="D10" s="719"/>
      <c r="E10" s="719"/>
      <c r="F10" s="720" t="s">
        <v>650</v>
      </c>
      <c r="G10" s="721">
        <v>998.0</v>
      </c>
      <c r="H10" s="722"/>
      <c r="I10" s="723"/>
      <c r="J10" s="724"/>
      <c r="K10" s="725"/>
      <c r="L10" s="726"/>
      <c r="M10" s="721">
        <v>998.0</v>
      </c>
      <c r="N10" s="727"/>
      <c r="O10" s="728"/>
      <c r="P10" s="729"/>
      <c r="Q10" s="730"/>
      <c r="R10" s="731"/>
      <c r="S10" s="732"/>
      <c r="T10" s="571">
        <f>(SUM(H10:L10)+SUM(N10:S10))*6</f>
        <v>0</v>
      </c>
      <c r="U10" s="571">
        <f t="shared" ref="U10:U11" si="1">T10*2.444</f>
        <v>0</v>
      </c>
      <c r="V10" s="733">
        <f>(M10*SUM(N10:S10))+G10*(SUM(H10:L10))</f>
        <v>0</v>
      </c>
    </row>
    <row r="11" ht="69.75" customHeight="1">
      <c r="B11" s="734" t="s">
        <v>754</v>
      </c>
      <c r="C11" s="552"/>
      <c r="D11" s="553">
        <v>1.0</v>
      </c>
      <c r="E11" s="553" t="s">
        <v>652</v>
      </c>
      <c r="F11" s="554" t="s">
        <v>653</v>
      </c>
      <c r="G11" s="591">
        <v>175.0</v>
      </c>
      <c r="H11" s="735"/>
      <c r="I11" s="736"/>
      <c r="J11" s="737"/>
      <c r="K11" s="738"/>
      <c r="L11" s="739"/>
      <c r="M11" s="591">
        <v>175.0</v>
      </c>
      <c r="N11" s="740"/>
      <c r="O11" s="741"/>
      <c r="P11" s="742"/>
      <c r="Q11" s="743"/>
      <c r="R11" s="744"/>
      <c r="S11" s="745"/>
      <c r="T11" s="553">
        <f t="shared" ref="T11:T16" si="2">SUM(H11:L11)+SUM(N11:S11)</f>
        <v>0</v>
      </c>
      <c r="U11" s="553">
        <f t="shared" si="1"/>
        <v>0</v>
      </c>
      <c r="V11" s="564">
        <f t="shared" ref="V11:V16" si="3">T11*G11</f>
        <v>0</v>
      </c>
    </row>
    <row r="12" ht="69.75" customHeight="1">
      <c r="B12" s="746" t="s">
        <v>755</v>
      </c>
      <c r="C12" s="80"/>
      <c r="D12" s="525">
        <v>1.0</v>
      </c>
      <c r="E12" s="525" t="s">
        <v>655</v>
      </c>
      <c r="F12" s="45" t="s">
        <v>656</v>
      </c>
      <c r="G12" s="591">
        <v>175.0</v>
      </c>
      <c r="H12" s="517"/>
      <c r="I12" s="518"/>
      <c r="J12" s="519"/>
      <c r="K12" s="520"/>
      <c r="L12" s="662"/>
      <c r="M12" s="591">
        <v>175.0</v>
      </c>
      <c r="N12" s="663"/>
      <c r="O12" s="664"/>
      <c r="P12" s="628"/>
      <c r="Q12" s="521"/>
      <c r="R12" s="523"/>
      <c r="S12" s="629"/>
      <c r="T12" s="647">
        <f t="shared" si="2"/>
        <v>0</v>
      </c>
      <c r="U12" s="525">
        <f>T12*2.105</f>
        <v>0</v>
      </c>
      <c r="V12" s="566">
        <f t="shared" si="3"/>
        <v>0</v>
      </c>
    </row>
    <row r="13" ht="69.75" customHeight="1">
      <c r="B13" s="746" t="s">
        <v>756</v>
      </c>
      <c r="C13" s="80"/>
      <c r="D13" s="525">
        <v>1.0</v>
      </c>
      <c r="E13" s="525" t="s">
        <v>658</v>
      </c>
      <c r="F13" s="45" t="s">
        <v>659</v>
      </c>
      <c r="G13" s="591">
        <v>175.0</v>
      </c>
      <c r="H13" s="517"/>
      <c r="I13" s="518"/>
      <c r="J13" s="519"/>
      <c r="K13" s="520"/>
      <c r="L13" s="662"/>
      <c r="M13" s="591">
        <v>175.0</v>
      </c>
      <c r="N13" s="663"/>
      <c r="O13" s="664"/>
      <c r="P13" s="628"/>
      <c r="Q13" s="521"/>
      <c r="R13" s="523"/>
      <c r="S13" s="629"/>
      <c r="T13" s="647">
        <f t="shared" si="2"/>
        <v>0</v>
      </c>
      <c r="U13" s="525">
        <f>T13*2.208</f>
        <v>0</v>
      </c>
      <c r="V13" s="566">
        <f t="shared" si="3"/>
        <v>0</v>
      </c>
    </row>
    <row r="14" ht="69.75" customHeight="1">
      <c r="B14" s="746" t="s">
        <v>757</v>
      </c>
      <c r="C14" s="80"/>
      <c r="D14" s="525">
        <v>1.0</v>
      </c>
      <c r="E14" s="525" t="s">
        <v>661</v>
      </c>
      <c r="F14" s="45" t="s">
        <v>662</v>
      </c>
      <c r="G14" s="591">
        <v>175.0</v>
      </c>
      <c r="H14" s="665"/>
      <c r="I14" s="518"/>
      <c r="J14" s="519"/>
      <c r="K14" s="520"/>
      <c r="L14" s="662"/>
      <c r="M14" s="591">
        <v>175.0</v>
      </c>
      <c r="N14" s="663"/>
      <c r="O14" s="627"/>
      <c r="P14" s="628"/>
      <c r="Q14" s="521"/>
      <c r="R14" s="523"/>
      <c r="S14" s="629"/>
      <c r="T14" s="647">
        <f t="shared" si="2"/>
        <v>0</v>
      </c>
      <c r="U14" s="525">
        <f>T14*2.644</f>
        <v>0</v>
      </c>
      <c r="V14" s="566">
        <f t="shared" si="3"/>
        <v>0</v>
      </c>
    </row>
    <row r="15" ht="69.75" customHeight="1">
      <c r="B15" s="746" t="s">
        <v>758</v>
      </c>
      <c r="C15" s="80"/>
      <c r="D15" s="525">
        <v>1.0</v>
      </c>
      <c r="E15" s="525" t="s">
        <v>664</v>
      </c>
      <c r="F15" s="45" t="s">
        <v>665</v>
      </c>
      <c r="G15" s="591">
        <v>175.0</v>
      </c>
      <c r="H15" s="517"/>
      <c r="I15" s="518"/>
      <c r="J15" s="519"/>
      <c r="K15" s="520"/>
      <c r="L15" s="662"/>
      <c r="M15" s="591">
        <v>175.0</v>
      </c>
      <c r="N15" s="663"/>
      <c r="O15" s="664"/>
      <c r="P15" s="628"/>
      <c r="Q15" s="521"/>
      <c r="R15" s="523"/>
      <c r="S15" s="629"/>
      <c r="T15" s="647">
        <f t="shared" si="2"/>
        <v>0</v>
      </c>
      <c r="U15" s="525">
        <f>T15*2.205</f>
        <v>0</v>
      </c>
      <c r="V15" s="566">
        <f t="shared" si="3"/>
        <v>0</v>
      </c>
    </row>
    <row r="16" ht="69.75" customHeight="1">
      <c r="B16" s="746" t="s">
        <v>759</v>
      </c>
      <c r="C16" s="80"/>
      <c r="D16" s="525">
        <v>1.0</v>
      </c>
      <c r="E16" s="525" t="s">
        <v>667</v>
      </c>
      <c r="F16" s="45" t="s">
        <v>668</v>
      </c>
      <c r="G16" s="591">
        <v>175.0</v>
      </c>
      <c r="H16" s="517"/>
      <c r="I16" s="518"/>
      <c r="J16" s="519"/>
      <c r="K16" s="574"/>
      <c r="L16" s="662"/>
      <c r="M16" s="591">
        <v>175.0</v>
      </c>
      <c r="N16" s="663"/>
      <c r="O16" s="664"/>
      <c r="P16" s="628"/>
      <c r="Q16" s="521"/>
      <c r="R16" s="523"/>
      <c r="S16" s="629"/>
      <c r="T16" s="647">
        <f t="shared" si="2"/>
        <v>0</v>
      </c>
      <c r="U16" s="525">
        <f>T16*2.557</f>
        <v>0</v>
      </c>
      <c r="V16" s="566">
        <f t="shared" si="3"/>
        <v>0</v>
      </c>
    </row>
    <row r="17" ht="23.25" customHeight="1"/>
    <row r="18">
      <c r="B18" s="747" t="s">
        <v>760</v>
      </c>
      <c r="C18" s="603"/>
      <c r="D18" s="668">
        <f>SUM(D19:D30)</f>
        <v>12</v>
      </c>
      <c r="E18" s="669" t="s">
        <v>650</v>
      </c>
      <c r="F18" s="603"/>
      <c r="G18" s="748">
        <v>1612.0</v>
      </c>
      <c r="H18" s="671"/>
      <c r="I18" s="672"/>
      <c r="J18" s="673"/>
      <c r="K18" s="674"/>
      <c r="L18" s="675"/>
      <c r="M18" s="748">
        <v>1612.0</v>
      </c>
      <c r="N18" s="676"/>
      <c r="O18" s="677"/>
      <c r="P18" s="678"/>
      <c r="Q18" s="679"/>
      <c r="R18" s="680"/>
      <c r="S18" s="681"/>
      <c r="T18" s="647">
        <f>(SUM(H18:L18)+SUM(N18:S18))*D18</f>
        <v>0</v>
      </c>
      <c r="U18" s="647">
        <f>T18*2.444</f>
        <v>0</v>
      </c>
      <c r="V18" s="648">
        <f>(M18*SUM(N18:S18))+G18*(SUM(H18:L18))</f>
        <v>0</v>
      </c>
    </row>
    <row r="19" ht="90.0" customHeight="1">
      <c r="B19" s="734" t="s">
        <v>761</v>
      </c>
      <c r="C19" s="552"/>
      <c r="D19" s="553">
        <v>1.0</v>
      </c>
      <c r="E19" s="553" t="s">
        <v>671</v>
      </c>
      <c r="F19" s="554" t="s">
        <v>672</v>
      </c>
      <c r="G19" s="555">
        <v>175.0</v>
      </c>
      <c r="H19" s="556"/>
      <c r="I19" s="557"/>
      <c r="J19" s="558"/>
      <c r="K19" s="592"/>
      <c r="L19" s="683"/>
      <c r="M19" s="749">
        <v>175.0</v>
      </c>
      <c r="N19" s="684"/>
      <c r="O19" s="685"/>
      <c r="P19" s="686"/>
      <c r="Q19" s="560"/>
      <c r="R19" s="562"/>
      <c r="S19" s="687"/>
      <c r="T19" s="647">
        <f t="shared" ref="T19:T30" si="4">SUM(H19:L19)+SUM(N19:S19)</f>
        <v>0</v>
      </c>
      <c r="U19" s="553">
        <f>T19*1.741</f>
        <v>0</v>
      </c>
      <c r="V19" s="564">
        <f t="shared" ref="V19:V30" si="5">T19*G19</f>
        <v>0</v>
      </c>
    </row>
    <row r="20" ht="90.0" customHeight="1">
      <c r="B20" s="734" t="s">
        <v>762</v>
      </c>
      <c r="C20" s="80"/>
      <c r="D20" s="525">
        <v>1.0</v>
      </c>
      <c r="E20" s="525" t="s">
        <v>674</v>
      </c>
      <c r="F20" s="45" t="s">
        <v>675</v>
      </c>
      <c r="G20" s="565">
        <v>157.5</v>
      </c>
      <c r="H20" s="517"/>
      <c r="I20" s="518"/>
      <c r="J20" s="519"/>
      <c r="K20" s="520"/>
      <c r="L20" s="662"/>
      <c r="M20" s="749">
        <v>157.5</v>
      </c>
      <c r="N20" s="663"/>
      <c r="O20" s="664"/>
      <c r="P20" s="628"/>
      <c r="Q20" s="521"/>
      <c r="R20" s="523"/>
      <c r="S20" s="629"/>
      <c r="T20" s="647">
        <f t="shared" si="4"/>
        <v>0</v>
      </c>
      <c r="U20" s="525">
        <f>T20*1.609</f>
        <v>0</v>
      </c>
      <c r="V20" s="566">
        <f t="shared" si="5"/>
        <v>0</v>
      </c>
    </row>
    <row r="21" ht="90.0" customHeight="1">
      <c r="B21" s="734" t="s">
        <v>763</v>
      </c>
      <c r="C21" s="80"/>
      <c r="D21" s="525">
        <v>1.0</v>
      </c>
      <c r="E21" s="525" t="s">
        <v>677</v>
      </c>
      <c r="F21" s="45" t="s">
        <v>678</v>
      </c>
      <c r="G21" s="565">
        <v>157.5</v>
      </c>
      <c r="H21" s="517"/>
      <c r="I21" s="518"/>
      <c r="J21" s="519"/>
      <c r="K21" s="520"/>
      <c r="L21" s="662"/>
      <c r="M21" s="749">
        <v>157.5</v>
      </c>
      <c r="N21" s="663"/>
      <c r="O21" s="664"/>
      <c r="P21" s="628"/>
      <c r="Q21" s="521"/>
      <c r="R21" s="523"/>
      <c r="S21" s="629"/>
      <c r="T21" s="647">
        <f t="shared" si="4"/>
        <v>0</v>
      </c>
      <c r="U21" s="525">
        <f>T21*1.671</f>
        <v>0</v>
      </c>
      <c r="V21" s="566">
        <f t="shared" si="5"/>
        <v>0</v>
      </c>
    </row>
    <row r="22" ht="90.0" customHeight="1">
      <c r="B22" s="734" t="s">
        <v>764</v>
      </c>
      <c r="C22" s="567"/>
      <c r="D22" s="525">
        <v>1.0</v>
      </c>
      <c r="E22" s="525" t="s">
        <v>680</v>
      </c>
      <c r="F22" s="45" t="s">
        <v>681</v>
      </c>
      <c r="G22" s="565">
        <v>122.5</v>
      </c>
      <c r="H22" s="517"/>
      <c r="I22" s="518"/>
      <c r="J22" s="519"/>
      <c r="K22" s="520"/>
      <c r="L22" s="662"/>
      <c r="M22" s="749">
        <v>122.5</v>
      </c>
      <c r="N22" s="663"/>
      <c r="O22" s="664"/>
      <c r="P22" s="628"/>
      <c r="Q22" s="521"/>
      <c r="R22" s="523"/>
      <c r="S22" s="629"/>
      <c r="T22" s="647">
        <f t="shared" si="4"/>
        <v>0</v>
      </c>
      <c r="U22" s="525"/>
      <c r="V22" s="566">
        <f t="shared" si="5"/>
        <v>0</v>
      </c>
    </row>
    <row r="23" ht="90.0" customHeight="1">
      <c r="B23" s="734" t="s">
        <v>765</v>
      </c>
      <c r="C23" s="567"/>
      <c r="D23" s="525">
        <v>1.0</v>
      </c>
      <c r="E23" s="525" t="s">
        <v>680</v>
      </c>
      <c r="F23" s="45" t="s">
        <v>683</v>
      </c>
      <c r="G23" s="565">
        <v>122.5</v>
      </c>
      <c r="H23" s="517"/>
      <c r="I23" s="518"/>
      <c r="J23" s="519"/>
      <c r="K23" s="520"/>
      <c r="L23" s="662"/>
      <c r="M23" s="749">
        <v>122.5</v>
      </c>
      <c r="N23" s="663"/>
      <c r="O23" s="664"/>
      <c r="P23" s="628"/>
      <c r="Q23" s="521"/>
      <c r="R23" s="523"/>
      <c r="S23" s="629"/>
      <c r="T23" s="647">
        <f t="shared" si="4"/>
        <v>0</v>
      </c>
      <c r="U23" s="525"/>
      <c r="V23" s="566">
        <f t="shared" si="5"/>
        <v>0</v>
      </c>
    </row>
    <row r="24" ht="90.0" customHeight="1">
      <c r="B24" s="734" t="s">
        <v>766</v>
      </c>
      <c r="C24" s="567"/>
      <c r="D24" s="525">
        <v>1.0</v>
      </c>
      <c r="E24" s="525" t="s">
        <v>680</v>
      </c>
      <c r="F24" s="45" t="s">
        <v>685</v>
      </c>
      <c r="G24" s="565">
        <v>122.5</v>
      </c>
      <c r="H24" s="517"/>
      <c r="I24" s="518"/>
      <c r="J24" s="519"/>
      <c r="K24" s="520"/>
      <c r="L24" s="662"/>
      <c r="M24" s="749">
        <v>122.5</v>
      </c>
      <c r="N24" s="663"/>
      <c r="O24" s="664"/>
      <c r="P24" s="628"/>
      <c r="Q24" s="521"/>
      <c r="R24" s="523"/>
      <c r="S24" s="629"/>
      <c r="T24" s="647">
        <f t="shared" si="4"/>
        <v>0</v>
      </c>
      <c r="U24" s="525"/>
      <c r="V24" s="566">
        <f t="shared" si="5"/>
        <v>0</v>
      </c>
    </row>
    <row r="25" ht="90.0" customHeight="1">
      <c r="B25" s="734" t="s">
        <v>767</v>
      </c>
      <c r="C25" s="80"/>
      <c r="D25" s="525">
        <v>1.0</v>
      </c>
      <c r="E25" s="525" t="s">
        <v>687</v>
      </c>
      <c r="F25" s="45" t="s">
        <v>688</v>
      </c>
      <c r="G25" s="565">
        <v>122.5</v>
      </c>
      <c r="H25" s="517"/>
      <c r="I25" s="518"/>
      <c r="J25" s="519"/>
      <c r="K25" s="520"/>
      <c r="L25" s="662"/>
      <c r="M25" s="749">
        <v>122.5</v>
      </c>
      <c r="N25" s="663"/>
      <c r="O25" s="664"/>
      <c r="P25" s="628"/>
      <c r="Q25" s="521"/>
      <c r="R25" s="523"/>
      <c r="S25" s="629"/>
      <c r="T25" s="647">
        <f t="shared" si="4"/>
        <v>0</v>
      </c>
      <c r="U25" s="525">
        <f>T25*1.555</f>
        <v>0</v>
      </c>
      <c r="V25" s="566">
        <f t="shared" si="5"/>
        <v>0</v>
      </c>
    </row>
    <row r="26" ht="90.0" customHeight="1">
      <c r="B26" s="734" t="s">
        <v>768</v>
      </c>
      <c r="C26" s="80"/>
      <c r="D26" s="525">
        <v>1.0</v>
      </c>
      <c r="E26" s="525" t="s">
        <v>690</v>
      </c>
      <c r="F26" s="45" t="s">
        <v>691</v>
      </c>
      <c r="G26" s="565">
        <v>122.5</v>
      </c>
      <c r="H26" s="517"/>
      <c r="I26" s="518"/>
      <c r="J26" s="519"/>
      <c r="K26" s="520"/>
      <c r="L26" s="662"/>
      <c r="M26" s="749">
        <v>122.5</v>
      </c>
      <c r="N26" s="663"/>
      <c r="O26" s="664"/>
      <c r="P26" s="628"/>
      <c r="Q26" s="521"/>
      <c r="R26" s="523"/>
      <c r="S26" s="629"/>
      <c r="T26" s="647">
        <f t="shared" si="4"/>
        <v>0</v>
      </c>
      <c r="U26" s="525">
        <f>T26*1.599</f>
        <v>0</v>
      </c>
      <c r="V26" s="566">
        <f t="shared" si="5"/>
        <v>0</v>
      </c>
    </row>
    <row r="27" ht="90.0" customHeight="1">
      <c r="B27" s="734" t="s">
        <v>769</v>
      </c>
      <c r="C27" s="80"/>
      <c r="D27" s="525">
        <v>1.0</v>
      </c>
      <c r="E27" s="525" t="s">
        <v>693</v>
      </c>
      <c r="F27" s="45" t="s">
        <v>694</v>
      </c>
      <c r="G27" s="565">
        <v>122.5</v>
      </c>
      <c r="H27" s="517"/>
      <c r="I27" s="518"/>
      <c r="J27" s="519"/>
      <c r="K27" s="520"/>
      <c r="L27" s="662"/>
      <c r="M27" s="749">
        <v>122.5</v>
      </c>
      <c r="N27" s="663"/>
      <c r="O27" s="664"/>
      <c r="P27" s="628"/>
      <c r="Q27" s="521"/>
      <c r="R27" s="523"/>
      <c r="S27" s="629"/>
      <c r="T27" s="647">
        <f t="shared" si="4"/>
        <v>0</v>
      </c>
      <c r="U27" s="525">
        <f>T27*1.564</f>
        <v>0</v>
      </c>
      <c r="V27" s="566">
        <f t="shared" si="5"/>
        <v>0</v>
      </c>
    </row>
    <row r="28" ht="90.0" customHeight="1">
      <c r="B28" s="734" t="s">
        <v>770</v>
      </c>
      <c r="C28" s="80"/>
      <c r="D28" s="525">
        <v>1.0</v>
      </c>
      <c r="E28" s="525" t="s">
        <v>696</v>
      </c>
      <c r="F28" s="45" t="s">
        <v>697</v>
      </c>
      <c r="G28" s="565">
        <v>157.5</v>
      </c>
      <c r="H28" s="517"/>
      <c r="I28" s="518"/>
      <c r="J28" s="519"/>
      <c r="K28" s="520"/>
      <c r="L28" s="662"/>
      <c r="M28" s="749">
        <v>157.5</v>
      </c>
      <c r="N28" s="663"/>
      <c r="O28" s="664"/>
      <c r="P28" s="628"/>
      <c r="Q28" s="521"/>
      <c r="R28" s="523"/>
      <c r="S28" s="629"/>
      <c r="T28" s="647">
        <f t="shared" si="4"/>
        <v>0</v>
      </c>
      <c r="U28" s="525">
        <f>T28*1.357</f>
        <v>0</v>
      </c>
      <c r="V28" s="566">
        <f t="shared" si="5"/>
        <v>0</v>
      </c>
    </row>
    <row r="29" ht="90.0" customHeight="1">
      <c r="B29" s="734" t="s">
        <v>771</v>
      </c>
      <c r="C29" s="80"/>
      <c r="D29" s="525">
        <v>1.0</v>
      </c>
      <c r="E29" s="525" t="s">
        <v>699</v>
      </c>
      <c r="F29" s="45" t="s">
        <v>700</v>
      </c>
      <c r="G29" s="565">
        <v>157.5</v>
      </c>
      <c r="H29" s="517"/>
      <c r="I29" s="518"/>
      <c r="J29" s="519"/>
      <c r="K29" s="520"/>
      <c r="L29" s="662"/>
      <c r="M29" s="749">
        <v>157.5</v>
      </c>
      <c r="N29" s="663"/>
      <c r="O29" s="664"/>
      <c r="P29" s="628"/>
      <c r="Q29" s="521"/>
      <c r="R29" s="523"/>
      <c r="S29" s="629"/>
      <c r="T29" s="647">
        <f t="shared" si="4"/>
        <v>0</v>
      </c>
      <c r="U29" s="525">
        <f>T29*1.613</f>
        <v>0</v>
      </c>
      <c r="V29" s="566">
        <f t="shared" si="5"/>
        <v>0</v>
      </c>
    </row>
    <row r="30" ht="90.0" customHeight="1">
      <c r="B30" s="734" t="s">
        <v>772</v>
      </c>
      <c r="C30" s="80"/>
      <c r="D30" s="525">
        <v>1.0</v>
      </c>
      <c r="E30" s="525" t="s">
        <v>702</v>
      </c>
      <c r="F30" s="45" t="s">
        <v>703</v>
      </c>
      <c r="G30" s="565">
        <v>157.5</v>
      </c>
      <c r="H30" s="517"/>
      <c r="I30" s="518"/>
      <c r="J30" s="519"/>
      <c r="K30" s="520"/>
      <c r="L30" s="662"/>
      <c r="M30" s="749">
        <v>157.5</v>
      </c>
      <c r="N30" s="663"/>
      <c r="O30" s="664"/>
      <c r="P30" s="628"/>
      <c r="Q30" s="521"/>
      <c r="R30" s="523"/>
      <c r="S30" s="629"/>
      <c r="T30" s="647">
        <f t="shared" si="4"/>
        <v>0</v>
      </c>
      <c r="U30" s="525">
        <f>T30*1.592</f>
        <v>0</v>
      </c>
      <c r="V30" s="566">
        <f t="shared" si="5"/>
        <v>0</v>
      </c>
    </row>
    <row r="31" ht="24.0" customHeight="1">
      <c r="G31" s="597"/>
      <c r="L31" s="688"/>
      <c r="M31" s="750"/>
    </row>
    <row r="32" ht="20.25" customHeight="1">
      <c r="B32" s="751" t="s">
        <v>773</v>
      </c>
      <c r="C32" s="536"/>
      <c r="D32" s="571">
        <f>SUM(D33:D50)</f>
        <v>20</v>
      </c>
      <c r="E32" s="571"/>
      <c r="F32" s="752" t="s">
        <v>512</v>
      </c>
      <c r="G32" s="753">
        <v>3000.0</v>
      </c>
      <c r="H32" s="579"/>
      <c r="I32" s="723"/>
      <c r="J32" s="724"/>
      <c r="K32" s="582"/>
      <c r="L32" s="754"/>
      <c r="M32" s="755">
        <v>3000.0</v>
      </c>
      <c r="N32" s="756"/>
      <c r="O32" s="728"/>
      <c r="P32" s="729"/>
      <c r="Q32" s="730"/>
      <c r="R32" s="731"/>
      <c r="S32" s="732"/>
      <c r="T32" s="571">
        <f>(SUM(H32:L32)+SUM(N32:S32))*D32</f>
        <v>0</v>
      </c>
      <c r="U32" s="571">
        <f>T32*2.444</f>
        <v>0</v>
      </c>
      <c r="V32" s="733">
        <f>(M32*SUM(N32:S32))+G32*(SUM(H32:L32))</f>
        <v>0</v>
      </c>
    </row>
    <row r="33" ht="90.0" customHeight="1">
      <c r="B33" s="734" t="s">
        <v>774</v>
      </c>
      <c r="C33" s="552"/>
      <c r="D33" s="553">
        <v>1.0</v>
      </c>
      <c r="E33" s="553" t="s">
        <v>706</v>
      </c>
      <c r="F33" s="554" t="s">
        <v>707</v>
      </c>
      <c r="G33" s="555">
        <v>184.0</v>
      </c>
      <c r="H33" s="735"/>
      <c r="I33" s="757"/>
      <c r="J33" s="737"/>
      <c r="K33" s="738"/>
      <c r="L33" s="758"/>
      <c r="M33" s="555">
        <v>184.0</v>
      </c>
      <c r="N33" s="740"/>
      <c r="O33" s="759"/>
      <c r="P33" s="742"/>
      <c r="Q33" s="760"/>
      <c r="R33" s="744"/>
      <c r="S33" s="745"/>
      <c r="T33" s="553">
        <f t="shared" ref="T33:T50" si="6">SUM(H33:L33)+SUM(N33:S33)</f>
        <v>0</v>
      </c>
      <c r="U33" s="553">
        <f t="shared" ref="U33:U50" si="7">T33*1.592</f>
        <v>0</v>
      </c>
      <c r="V33" s="564">
        <f t="shared" ref="V33:V50" si="8">T33*G33</f>
        <v>0</v>
      </c>
    </row>
    <row r="34" ht="90.0" customHeight="1">
      <c r="B34" s="694" t="s">
        <v>775</v>
      </c>
      <c r="C34" s="80"/>
      <c r="D34" s="525">
        <v>1.0</v>
      </c>
      <c r="E34" s="525" t="s">
        <v>709</v>
      </c>
      <c r="F34" s="45" t="s">
        <v>710</v>
      </c>
      <c r="G34" s="565">
        <v>174.0</v>
      </c>
      <c r="H34" s="517"/>
      <c r="I34" s="518"/>
      <c r="J34" s="519"/>
      <c r="K34" s="574"/>
      <c r="L34" s="662"/>
      <c r="M34" s="565">
        <v>174.0</v>
      </c>
      <c r="N34" s="663"/>
      <c r="O34" s="664"/>
      <c r="P34" s="628"/>
      <c r="Q34" s="521"/>
      <c r="R34" s="523"/>
      <c r="S34" s="629"/>
      <c r="T34" s="647">
        <f t="shared" si="6"/>
        <v>0</v>
      </c>
      <c r="U34" s="525">
        <f t="shared" si="7"/>
        <v>0</v>
      </c>
      <c r="V34" s="566">
        <f t="shared" si="8"/>
        <v>0</v>
      </c>
    </row>
    <row r="35" ht="90.0" customHeight="1">
      <c r="B35" s="694" t="s">
        <v>776</v>
      </c>
      <c r="C35" s="80"/>
      <c r="D35" s="525">
        <v>1.0</v>
      </c>
      <c r="E35" s="525" t="s">
        <v>712</v>
      </c>
      <c r="F35" s="45" t="s">
        <v>713</v>
      </c>
      <c r="G35" s="565">
        <v>158.0</v>
      </c>
      <c r="H35" s="517"/>
      <c r="I35" s="518"/>
      <c r="J35" s="519"/>
      <c r="K35" s="574"/>
      <c r="L35" s="662"/>
      <c r="M35" s="565">
        <v>158.0</v>
      </c>
      <c r="N35" s="663"/>
      <c r="O35" s="664"/>
      <c r="P35" s="628"/>
      <c r="Q35" s="521"/>
      <c r="R35" s="523"/>
      <c r="S35" s="629"/>
      <c r="T35" s="647">
        <f t="shared" si="6"/>
        <v>0</v>
      </c>
      <c r="U35" s="525">
        <f t="shared" si="7"/>
        <v>0</v>
      </c>
      <c r="V35" s="566">
        <f t="shared" si="8"/>
        <v>0</v>
      </c>
    </row>
    <row r="36" ht="90.0" customHeight="1">
      <c r="B36" s="694" t="s">
        <v>777</v>
      </c>
      <c r="C36" s="80"/>
      <c r="D36" s="525">
        <v>1.0</v>
      </c>
      <c r="E36" s="525"/>
      <c r="F36" s="45" t="s">
        <v>715</v>
      </c>
      <c r="G36" s="565">
        <v>159.0</v>
      </c>
      <c r="H36" s="517"/>
      <c r="I36" s="518"/>
      <c r="J36" s="519"/>
      <c r="K36" s="574"/>
      <c r="L36" s="662"/>
      <c r="M36" s="565">
        <v>159.0</v>
      </c>
      <c r="N36" s="663"/>
      <c r="O36" s="664"/>
      <c r="P36" s="628"/>
      <c r="Q36" s="521"/>
      <c r="R36" s="523"/>
      <c r="S36" s="629"/>
      <c r="T36" s="647">
        <f t="shared" si="6"/>
        <v>0</v>
      </c>
      <c r="U36" s="525">
        <f t="shared" si="7"/>
        <v>0</v>
      </c>
      <c r="V36" s="566">
        <f t="shared" si="8"/>
        <v>0</v>
      </c>
    </row>
    <row r="37" ht="90.0" customHeight="1">
      <c r="B37" s="694" t="s">
        <v>778</v>
      </c>
      <c r="C37" s="80"/>
      <c r="D37" s="525">
        <v>1.0</v>
      </c>
      <c r="E37" s="525"/>
      <c r="F37" s="45" t="s">
        <v>717</v>
      </c>
      <c r="G37" s="565">
        <v>159.0</v>
      </c>
      <c r="H37" s="665"/>
      <c r="I37" s="518"/>
      <c r="J37" s="519"/>
      <c r="K37" s="520"/>
      <c r="L37" s="662"/>
      <c r="M37" s="565">
        <v>159.0</v>
      </c>
      <c r="N37" s="695"/>
      <c r="O37" s="664"/>
      <c r="P37" s="628"/>
      <c r="Q37" s="521"/>
      <c r="R37" s="523"/>
      <c r="S37" s="629"/>
      <c r="T37" s="647">
        <f t="shared" si="6"/>
        <v>0</v>
      </c>
      <c r="U37" s="525">
        <f t="shared" si="7"/>
        <v>0</v>
      </c>
      <c r="V37" s="566">
        <f t="shared" si="8"/>
        <v>0</v>
      </c>
    </row>
    <row r="38" ht="90.0" customHeight="1">
      <c r="B38" s="694" t="s">
        <v>779</v>
      </c>
      <c r="C38" s="80"/>
      <c r="D38" s="525">
        <v>1.0</v>
      </c>
      <c r="E38" s="525" t="s">
        <v>719</v>
      </c>
      <c r="F38" s="45" t="s">
        <v>720</v>
      </c>
      <c r="G38" s="565">
        <v>188.0</v>
      </c>
      <c r="H38" s="517"/>
      <c r="I38" s="518"/>
      <c r="J38" s="519"/>
      <c r="K38" s="520"/>
      <c r="L38" s="662"/>
      <c r="M38" s="565">
        <v>188.0</v>
      </c>
      <c r="N38" s="663"/>
      <c r="O38" s="664"/>
      <c r="P38" s="628"/>
      <c r="Q38" s="521"/>
      <c r="R38" s="523"/>
      <c r="S38" s="629"/>
      <c r="T38" s="647">
        <f t="shared" si="6"/>
        <v>0</v>
      </c>
      <c r="U38" s="525">
        <f t="shared" si="7"/>
        <v>0</v>
      </c>
      <c r="V38" s="566">
        <f t="shared" si="8"/>
        <v>0</v>
      </c>
    </row>
    <row r="39" ht="90.0" customHeight="1">
      <c r="B39" s="694" t="s">
        <v>780</v>
      </c>
      <c r="C39" s="80"/>
      <c r="D39" s="525">
        <v>1.0</v>
      </c>
      <c r="E39" s="525"/>
      <c r="F39" s="45" t="s">
        <v>722</v>
      </c>
      <c r="G39" s="565">
        <v>159.0</v>
      </c>
      <c r="H39" s="517"/>
      <c r="I39" s="518"/>
      <c r="J39" s="519"/>
      <c r="K39" s="520"/>
      <c r="L39" s="662"/>
      <c r="M39" s="565">
        <v>159.0</v>
      </c>
      <c r="N39" s="663"/>
      <c r="O39" s="664"/>
      <c r="P39" s="628"/>
      <c r="Q39" s="521"/>
      <c r="R39" s="523"/>
      <c r="S39" s="629"/>
      <c r="T39" s="647">
        <f t="shared" si="6"/>
        <v>0</v>
      </c>
      <c r="U39" s="525">
        <f t="shared" si="7"/>
        <v>0</v>
      </c>
      <c r="V39" s="566">
        <f t="shared" si="8"/>
        <v>0</v>
      </c>
    </row>
    <row r="40" ht="90.0" customHeight="1">
      <c r="B40" s="694" t="s">
        <v>781</v>
      </c>
      <c r="C40" s="80"/>
      <c r="D40" s="525">
        <v>1.0</v>
      </c>
      <c r="E40" s="525"/>
      <c r="F40" s="45" t="s">
        <v>724</v>
      </c>
      <c r="G40" s="565">
        <v>159.0</v>
      </c>
      <c r="H40" s="517"/>
      <c r="I40" s="518"/>
      <c r="J40" s="519"/>
      <c r="K40" s="520"/>
      <c r="L40" s="662"/>
      <c r="M40" s="565">
        <v>159.0</v>
      </c>
      <c r="N40" s="663"/>
      <c r="O40" s="664"/>
      <c r="P40" s="628"/>
      <c r="Q40" s="521"/>
      <c r="R40" s="523"/>
      <c r="S40" s="629"/>
      <c r="T40" s="647">
        <f t="shared" si="6"/>
        <v>0</v>
      </c>
      <c r="U40" s="525">
        <f t="shared" si="7"/>
        <v>0</v>
      </c>
      <c r="V40" s="566">
        <f t="shared" si="8"/>
        <v>0</v>
      </c>
    </row>
    <row r="41" ht="90.0" customHeight="1">
      <c r="B41" s="694" t="s">
        <v>782</v>
      </c>
      <c r="C41" s="80"/>
      <c r="D41" s="525">
        <v>4.0</v>
      </c>
      <c r="E41" s="305" t="s">
        <v>726</v>
      </c>
      <c r="F41" s="119" t="s">
        <v>727</v>
      </c>
      <c r="G41" s="565">
        <v>558.0</v>
      </c>
      <c r="H41" s="517"/>
      <c r="I41" s="518"/>
      <c r="J41" s="519"/>
      <c r="K41" s="520"/>
      <c r="L41" s="662"/>
      <c r="M41" s="565">
        <v>558.0</v>
      </c>
      <c r="N41" s="663"/>
      <c r="O41" s="664"/>
      <c r="P41" s="628"/>
      <c r="Q41" s="521"/>
      <c r="R41" s="523"/>
      <c r="S41" s="629"/>
      <c r="T41" s="647">
        <f t="shared" si="6"/>
        <v>0</v>
      </c>
      <c r="U41" s="525">
        <f t="shared" si="7"/>
        <v>0</v>
      </c>
      <c r="V41" s="566">
        <f t="shared" si="8"/>
        <v>0</v>
      </c>
    </row>
    <row r="42" ht="2.25" customHeight="1">
      <c r="B42" s="694" t="s">
        <v>783</v>
      </c>
      <c r="C42" s="80"/>
      <c r="D42" s="525"/>
      <c r="E42" s="525"/>
      <c r="F42" s="45"/>
      <c r="G42" s="565">
        <v>0.0</v>
      </c>
      <c r="H42" s="303"/>
      <c r="I42" s="303"/>
      <c r="J42" s="303"/>
      <c r="K42" s="696"/>
      <c r="L42" s="662"/>
      <c r="M42" s="565">
        <v>0.0</v>
      </c>
      <c r="N42" s="697"/>
      <c r="O42" s="303"/>
      <c r="P42" s="303"/>
      <c r="Q42" s="303"/>
      <c r="R42" s="696"/>
      <c r="S42" s="303"/>
      <c r="T42" s="647">
        <f t="shared" si="6"/>
        <v>0</v>
      </c>
      <c r="U42" s="525">
        <f t="shared" si="7"/>
        <v>0</v>
      </c>
      <c r="V42" s="566">
        <f t="shared" si="8"/>
        <v>0</v>
      </c>
    </row>
    <row r="43" ht="90.0" customHeight="1">
      <c r="B43" s="694" t="s">
        <v>784</v>
      </c>
      <c r="C43" s="80"/>
      <c r="D43" s="525">
        <v>1.0</v>
      </c>
      <c r="E43" s="525" t="s">
        <v>729</v>
      </c>
      <c r="F43" s="45" t="s">
        <v>730</v>
      </c>
      <c r="G43" s="565">
        <v>178.0</v>
      </c>
      <c r="H43" s="517"/>
      <c r="I43" s="518"/>
      <c r="J43" s="519"/>
      <c r="K43" s="520"/>
      <c r="L43" s="662"/>
      <c r="M43" s="565">
        <v>178.0</v>
      </c>
      <c r="N43" s="663"/>
      <c r="O43" s="664"/>
      <c r="P43" s="628"/>
      <c r="Q43" s="521"/>
      <c r="R43" s="523"/>
      <c r="S43" s="629"/>
      <c r="T43" s="647">
        <f t="shared" si="6"/>
        <v>0</v>
      </c>
      <c r="U43" s="525">
        <f t="shared" si="7"/>
        <v>0</v>
      </c>
      <c r="V43" s="566">
        <f t="shared" si="8"/>
        <v>0</v>
      </c>
    </row>
    <row r="44" ht="90.0" customHeight="1">
      <c r="B44" s="694" t="s">
        <v>785</v>
      </c>
      <c r="C44" s="80"/>
      <c r="D44" s="525">
        <v>1.0</v>
      </c>
      <c r="E44" s="525" t="s">
        <v>732</v>
      </c>
      <c r="F44" s="45" t="s">
        <v>733</v>
      </c>
      <c r="G44" s="565">
        <v>190.0</v>
      </c>
      <c r="H44" s="517"/>
      <c r="I44" s="518"/>
      <c r="J44" s="519"/>
      <c r="K44" s="520"/>
      <c r="L44" s="662"/>
      <c r="M44" s="565">
        <v>190.0</v>
      </c>
      <c r="N44" s="663"/>
      <c r="O44" s="664"/>
      <c r="P44" s="628"/>
      <c r="Q44" s="521"/>
      <c r="R44" s="523"/>
      <c r="S44" s="629"/>
      <c r="T44" s="647">
        <f t="shared" si="6"/>
        <v>0</v>
      </c>
      <c r="U44" s="525">
        <f t="shared" si="7"/>
        <v>0</v>
      </c>
      <c r="V44" s="566">
        <f t="shared" si="8"/>
        <v>0</v>
      </c>
    </row>
    <row r="45" ht="90.0" customHeight="1">
      <c r="B45" s="694" t="s">
        <v>786</v>
      </c>
      <c r="C45" s="80"/>
      <c r="D45" s="525">
        <v>1.0</v>
      </c>
      <c r="E45" s="698" t="s">
        <v>735</v>
      </c>
      <c r="F45" s="45" t="s">
        <v>736</v>
      </c>
      <c r="G45" s="565">
        <v>200.0</v>
      </c>
      <c r="H45" s="517"/>
      <c r="I45" s="518"/>
      <c r="J45" s="519"/>
      <c r="K45" s="520"/>
      <c r="L45" s="662"/>
      <c r="M45" s="565">
        <v>200.0</v>
      </c>
      <c r="N45" s="663"/>
      <c r="O45" s="664"/>
      <c r="P45" s="628"/>
      <c r="Q45" s="521"/>
      <c r="R45" s="523"/>
      <c r="S45" s="629"/>
      <c r="T45" s="647">
        <f t="shared" si="6"/>
        <v>0</v>
      </c>
      <c r="U45" s="525">
        <f t="shared" si="7"/>
        <v>0</v>
      </c>
      <c r="V45" s="566">
        <f t="shared" si="8"/>
        <v>0</v>
      </c>
    </row>
    <row r="46" ht="90.0" customHeight="1">
      <c r="B46" s="694" t="s">
        <v>787</v>
      </c>
      <c r="C46" s="80"/>
      <c r="D46" s="525">
        <v>1.0</v>
      </c>
      <c r="E46" s="698" t="s">
        <v>738</v>
      </c>
      <c r="F46" s="45" t="s">
        <v>739</v>
      </c>
      <c r="G46" s="565">
        <v>200.0</v>
      </c>
      <c r="H46" s="517"/>
      <c r="I46" s="518"/>
      <c r="J46" s="519"/>
      <c r="K46" s="520"/>
      <c r="L46" s="662"/>
      <c r="M46" s="565">
        <v>200.0</v>
      </c>
      <c r="N46" s="663"/>
      <c r="O46" s="664"/>
      <c r="P46" s="628"/>
      <c r="Q46" s="521"/>
      <c r="R46" s="523"/>
      <c r="S46" s="629"/>
      <c r="T46" s="647">
        <f t="shared" si="6"/>
        <v>0</v>
      </c>
      <c r="U46" s="525">
        <f t="shared" si="7"/>
        <v>0</v>
      </c>
      <c r="V46" s="566">
        <f t="shared" si="8"/>
        <v>0</v>
      </c>
    </row>
    <row r="47" ht="90.0" customHeight="1">
      <c r="B47" s="694" t="s">
        <v>788</v>
      </c>
      <c r="C47" s="525" t="s">
        <v>741</v>
      </c>
      <c r="D47" s="525">
        <v>1.0</v>
      </c>
      <c r="E47" s="525" t="s">
        <v>742</v>
      </c>
      <c r="F47" s="45" t="s">
        <v>743</v>
      </c>
      <c r="G47" s="565">
        <v>159.0</v>
      </c>
      <c r="H47" s="517"/>
      <c r="I47" s="518"/>
      <c r="J47" s="519"/>
      <c r="K47" s="520"/>
      <c r="L47" s="662"/>
      <c r="M47" s="565">
        <v>159.0</v>
      </c>
      <c r="N47" s="663"/>
      <c r="O47" s="664"/>
      <c r="P47" s="628"/>
      <c r="Q47" s="521"/>
      <c r="R47" s="523"/>
      <c r="S47" s="629"/>
      <c r="T47" s="647">
        <f t="shared" si="6"/>
        <v>0</v>
      </c>
      <c r="U47" s="525">
        <f t="shared" si="7"/>
        <v>0</v>
      </c>
      <c r="V47" s="566">
        <f t="shared" si="8"/>
        <v>0</v>
      </c>
    </row>
    <row r="48" ht="90.0" customHeight="1">
      <c r="B48" s="694" t="s">
        <v>789</v>
      </c>
      <c r="C48" s="80"/>
      <c r="D48" s="525">
        <v>1.0</v>
      </c>
      <c r="E48" s="525" t="s">
        <v>745</v>
      </c>
      <c r="F48" s="45" t="s">
        <v>746</v>
      </c>
      <c r="G48" s="565">
        <v>158.0</v>
      </c>
      <c r="H48" s="517"/>
      <c r="I48" s="518"/>
      <c r="J48" s="519"/>
      <c r="K48" s="520"/>
      <c r="L48" s="662"/>
      <c r="M48" s="565">
        <v>158.0</v>
      </c>
      <c r="N48" s="663"/>
      <c r="O48" s="664"/>
      <c r="P48" s="628"/>
      <c r="Q48" s="521"/>
      <c r="R48" s="523"/>
      <c r="S48" s="629"/>
      <c r="T48" s="647">
        <f t="shared" si="6"/>
        <v>0</v>
      </c>
      <c r="U48" s="525">
        <f t="shared" si="7"/>
        <v>0</v>
      </c>
      <c r="V48" s="566">
        <f t="shared" si="8"/>
        <v>0</v>
      </c>
    </row>
    <row r="49" ht="90.0" customHeight="1">
      <c r="B49" s="694" t="s">
        <v>790</v>
      </c>
      <c r="C49" s="80"/>
      <c r="D49" s="525">
        <v>1.0</v>
      </c>
      <c r="E49" s="525"/>
      <c r="F49" s="45" t="s">
        <v>748</v>
      </c>
      <c r="G49" s="565">
        <v>159.0</v>
      </c>
      <c r="H49" s="517"/>
      <c r="I49" s="518"/>
      <c r="J49" s="519"/>
      <c r="K49" s="520"/>
      <c r="L49" s="662"/>
      <c r="M49" s="565">
        <v>159.0</v>
      </c>
      <c r="N49" s="663"/>
      <c r="O49" s="664"/>
      <c r="P49" s="628"/>
      <c r="Q49" s="521"/>
      <c r="R49" s="523"/>
      <c r="S49" s="629"/>
      <c r="T49" s="647">
        <f t="shared" si="6"/>
        <v>0</v>
      </c>
      <c r="U49" s="525">
        <f t="shared" si="7"/>
        <v>0</v>
      </c>
      <c r="V49" s="566">
        <f t="shared" si="8"/>
        <v>0</v>
      </c>
    </row>
    <row r="50" ht="90.0" customHeight="1">
      <c r="B50" s="694" t="s">
        <v>791</v>
      </c>
      <c r="C50" s="699"/>
      <c r="D50" s="700">
        <v>1.0</v>
      </c>
      <c r="E50" s="700"/>
      <c r="F50" s="701" t="s">
        <v>750</v>
      </c>
      <c r="G50" s="702">
        <v>159.0</v>
      </c>
      <c r="H50" s="703"/>
      <c r="I50" s="704"/>
      <c r="J50" s="705"/>
      <c r="K50" s="706"/>
      <c r="L50" s="707"/>
      <c r="M50" s="702">
        <v>159.0</v>
      </c>
      <c r="N50" s="708"/>
      <c r="O50" s="709"/>
      <c r="P50" s="710"/>
      <c r="Q50" s="711"/>
      <c r="R50" s="712"/>
      <c r="S50" s="713"/>
      <c r="T50" s="647">
        <f t="shared" si="6"/>
        <v>0</v>
      </c>
      <c r="U50" s="525">
        <f t="shared" si="7"/>
        <v>0</v>
      </c>
      <c r="V50" s="566">
        <f t="shared" si="8"/>
        <v>0</v>
      </c>
    </row>
    <row r="51" ht="15.75" customHeight="1">
      <c r="G51" s="597"/>
      <c r="H51" s="714">
        <f t="shared" ref="H51:K51" si="9">SUM(H8:H50)</f>
        <v>0</v>
      </c>
      <c r="I51" s="714">
        <f t="shared" si="9"/>
        <v>0</v>
      </c>
      <c r="J51" s="714">
        <f t="shared" si="9"/>
        <v>0</v>
      </c>
      <c r="K51" s="714">
        <f t="shared" si="9"/>
        <v>0</v>
      </c>
      <c r="L51" s="714"/>
      <c r="M51" s="80"/>
      <c r="N51" s="715">
        <f t="shared" ref="N51:V51" si="10">SUM(N8:N50)</f>
        <v>0</v>
      </c>
      <c r="O51" s="714">
        <f t="shared" si="10"/>
        <v>0</v>
      </c>
      <c r="P51" s="714">
        <f t="shared" si="10"/>
        <v>0</v>
      </c>
      <c r="Q51" s="714">
        <f t="shared" si="10"/>
        <v>0</v>
      </c>
      <c r="R51" s="714">
        <f t="shared" si="10"/>
        <v>0</v>
      </c>
      <c r="S51" s="714">
        <f t="shared" si="10"/>
        <v>0</v>
      </c>
      <c r="T51" s="714">
        <f t="shared" si="10"/>
        <v>0</v>
      </c>
      <c r="U51" s="714">
        <f t="shared" si="10"/>
        <v>0</v>
      </c>
      <c r="V51" s="716">
        <f t="shared" si="10"/>
        <v>0</v>
      </c>
    </row>
    <row r="52" ht="15.75" customHeight="1">
      <c r="G52" s="597"/>
    </row>
    <row r="53" ht="15.75" customHeight="1">
      <c r="G53" s="597"/>
    </row>
    <row r="54" ht="15.75" customHeight="1">
      <c r="G54" s="597"/>
    </row>
    <row r="55" ht="15.75" customHeight="1">
      <c r="G55" s="597"/>
    </row>
    <row r="56" ht="15.75" customHeight="1">
      <c r="G56" s="597"/>
    </row>
    <row r="57" ht="15.75" customHeight="1">
      <c r="G57" s="597"/>
    </row>
    <row r="58" ht="15.75" customHeight="1">
      <c r="G58" s="597"/>
    </row>
    <row r="59" ht="15.75" customHeight="1">
      <c r="G59" s="597"/>
    </row>
    <row r="60" ht="15.75" customHeight="1">
      <c r="G60" s="597"/>
    </row>
    <row r="61" ht="15.75" customHeight="1">
      <c r="G61" s="597"/>
    </row>
    <row r="62" ht="15.75" customHeight="1">
      <c r="G62" s="597"/>
    </row>
    <row r="63" ht="15.75" customHeight="1">
      <c r="G63" s="597"/>
    </row>
    <row r="64" ht="15.75" customHeight="1">
      <c r="G64" s="597"/>
    </row>
    <row r="65" ht="15.75" customHeight="1">
      <c r="G65" s="597"/>
    </row>
    <row r="66" ht="15.75" customHeight="1">
      <c r="G66" s="597"/>
    </row>
    <row r="67" ht="15.75" customHeight="1">
      <c r="G67" s="597"/>
    </row>
    <row r="68" ht="15.75" customHeight="1">
      <c r="G68" s="597"/>
    </row>
    <row r="69" ht="15.75" customHeight="1">
      <c r="G69" s="597"/>
    </row>
    <row r="70" ht="15.75" customHeight="1">
      <c r="G70" s="597"/>
    </row>
    <row r="71" ht="15.75" customHeight="1">
      <c r="G71" s="597"/>
    </row>
    <row r="72" ht="15.75" customHeight="1">
      <c r="G72" s="597"/>
    </row>
    <row r="73" ht="15.75" customHeight="1">
      <c r="G73" s="597"/>
    </row>
    <row r="74" ht="15.75" customHeight="1">
      <c r="G74" s="597"/>
    </row>
    <row r="75" ht="15.75" customHeight="1">
      <c r="G75" s="597"/>
    </row>
    <row r="76" ht="15.75" customHeight="1">
      <c r="G76" s="597"/>
    </row>
    <row r="77" ht="15.75" customHeight="1">
      <c r="G77" s="597"/>
    </row>
    <row r="78" ht="15.75" customHeight="1">
      <c r="G78" s="597"/>
    </row>
    <row r="79" ht="15.75" customHeight="1">
      <c r="G79" s="597"/>
    </row>
    <row r="80" ht="15.75" customHeight="1">
      <c r="G80" s="597"/>
    </row>
    <row r="81" ht="15.75" customHeight="1">
      <c r="G81" s="597"/>
    </row>
    <row r="82" ht="15.75" customHeight="1">
      <c r="G82" s="597"/>
    </row>
    <row r="83" ht="15.75" customHeight="1">
      <c r="G83" s="597"/>
    </row>
    <row r="84" ht="15.75" customHeight="1">
      <c r="G84" s="597"/>
    </row>
    <row r="85" ht="15.75" customHeight="1">
      <c r="G85" s="597"/>
    </row>
    <row r="86" ht="15.75" customHeight="1">
      <c r="G86" s="597"/>
    </row>
    <row r="87" ht="15.75" customHeight="1">
      <c r="G87" s="597"/>
    </row>
    <row r="88" ht="15.75" customHeight="1">
      <c r="G88" s="597"/>
    </row>
    <row r="89" ht="15.75" customHeight="1">
      <c r="G89" s="597"/>
    </row>
    <row r="90" ht="15.75" customHeight="1">
      <c r="G90" s="597"/>
    </row>
    <row r="91" ht="15.75" customHeight="1">
      <c r="G91" s="597"/>
    </row>
    <row r="92" ht="15.75" customHeight="1">
      <c r="G92" s="597"/>
    </row>
    <row r="93" ht="15.75" customHeight="1">
      <c r="G93" s="597"/>
    </row>
    <row r="94" ht="15.75" customHeight="1">
      <c r="G94" s="597"/>
    </row>
    <row r="95" ht="15.75" customHeight="1">
      <c r="G95" s="597"/>
    </row>
    <row r="96" ht="15.75" customHeight="1">
      <c r="G96" s="597"/>
    </row>
    <row r="97" ht="15.75" customHeight="1">
      <c r="G97" s="597"/>
    </row>
    <row r="98" ht="15.75" customHeight="1">
      <c r="G98" s="597"/>
    </row>
    <row r="99" ht="15.75" customHeight="1">
      <c r="G99" s="597"/>
    </row>
    <row r="100" ht="15.75" customHeight="1">
      <c r="G100" s="597"/>
    </row>
    <row r="101" ht="15.75" customHeight="1">
      <c r="G101" s="597"/>
    </row>
    <row r="102" ht="15.75" customHeight="1">
      <c r="G102" s="597"/>
    </row>
    <row r="103" ht="15.75" customHeight="1">
      <c r="G103" s="597"/>
    </row>
    <row r="104" ht="15.75" customHeight="1">
      <c r="G104" s="597"/>
    </row>
    <row r="105" ht="15.75" customHeight="1">
      <c r="G105" s="597"/>
    </row>
    <row r="106" ht="15.75" customHeight="1">
      <c r="G106" s="597"/>
    </row>
    <row r="107" ht="15.75" customHeight="1">
      <c r="G107" s="597"/>
    </row>
    <row r="108" ht="15.75" customHeight="1">
      <c r="G108" s="597"/>
    </row>
    <row r="109" ht="15.75" customHeight="1">
      <c r="G109" s="597"/>
    </row>
    <row r="110" ht="15.75" customHeight="1">
      <c r="G110" s="597"/>
    </row>
    <row r="111" ht="15.75" customHeight="1">
      <c r="G111" s="597"/>
    </row>
    <row r="112" ht="15.75" customHeight="1">
      <c r="G112" s="597"/>
    </row>
    <row r="113" ht="15.75" customHeight="1">
      <c r="G113" s="597"/>
    </row>
    <row r="114" ht="15.75" customHeight="1">
      <c r="G114" s="597"/>
    </row>
    <row r="115" ht="15.75" customHeight="1">
      <c r="G115" s="597"/>
    </row>
    <row r="116" ht="15.75" customHeight="1">
      <c r="G116" s="597"/>
    </row>
    <row r="117" ht="15.75" customHeight="1">
      <c r="G117" s="597"/>
    </row>
    <row r="118" ht="15.75" customHeight="1">
      <c r="G118" s="597"/>
    </row>
    <row r="119" ht="15.75" customHeight="1">
      <c r="G119" s="597"/>
    </row>
    <row r="120" ht="15.75" customHeight="1">
      <c r="G120" s="597"/>
    </row>
    <row r="121" ht="15.75" customHeight="1">
      <c r="G121" s="597"/>
    </row>
    <row r="122" ht="15.75" customHeight="1">
      <c r="G122" s="597"/>
    </row>
    <row r="123" ht="15.75" customHeight="1">
      <c r="G123" s="597"/>
    </row>
    <row r="124" ht="15.75" customHeight="1">
      <c r="G124" s="597"/>
    </row>
    <row r="125" ht="15.75" customHeight="1">
      <c r="G125" s="597"/>
    </row>
    <row r="126" ht="15.75" customHeight="1">
      <c r="G126" s="597"/>
    </row>
    <row r="127" ht="15.75" customHeight="1">
      <c r="G127" s="597"/>
    </row>
    <row r="128" ht="15.75" customHeight="1">
      <c r="G128" s="597"/>
    </row>
    <row r="129" ht="15.75" customHeight="1">
      <c r="G129" s="597"/>
    </row>
    <row r="130" ht="15.75" customHeight="1">
      <c r="G130" s="597"/>
    </row>
    <row r="131" ht="15.75" customHeight="1">
      <c r="G131" s="597"/>
    </row>
    <row r="132" ht="15.75" customHeight="1">
      <c r="G132" s="597"/>
    </row>
    <row r="133" ht="15.75" customHeight="1">
      <c r="G133" s="597"/>
    </row>
    <row r="134" ht="15.75" customHeight="1">
      <c r="G134" s="597"/>
    </row>
    <row r="135" ht="15.75" customHeight="1">
      <c r="G135" s="597"/>
    </row>
    <row r="136" ht="15.75" customHeight="1">
      <c r="G136" s="597"/>
    </row>
    <row r="137" ht="15.75" customHeight="1">
      <c r="G137" s="597"/>
    </row>
    <row r="138" ht="15.75" customHeight="1">
      <c r="G138" s="597"/>
    </row>
    <row r="139" ht="15.75" customHeight="1">
      <c r="G139" s="597"/>
    </row>
    <row r="140" ht="15.75" customHeight="1">
      <c r="G140" s="597"/>
    </row>
    <row r="141" ht="15.75" customHeight="1">
      <c r="G141" s="597"/>
    </row>
    <row r="142" ht="15.75" customHeight="1">
      <c r="G142" s="597"/>
    </row>
    <row r="143" ht="15.75" customHeight="1">
      <c r="G143" s="597"/>
    </row>
    <row r="144" ht="15.75" customHeight="1">
      <c r="G144" s="597"/>
    </row>
    <row r="145" ht="15.75" customHeight="1">
      <c r="G145" s="597"/>
    </row>
    <row r="146" ht="15.75" customHeight="1">
      <c r="G146" s="597"/>
    </row>
    <row r="147" ht="15.75" customHeight="1">
      <c r="G147" s="597"/>
    </row>
    <row r="148" ht="15.75" customHeight="1">
      <c r="G148" s="597"/>
    </row>
    <row r="149" ht="15.75" customHeight="1">
      <c r="G149" s="597"/>
    </row>
    <row r="150" ht="15.75" customHeight="1">
      <c r="G150" s="597"/>
    </row>
    <row r="151" ht="15.75" customHeight="1">
      <c r="G151" s="597"/>
    </row>
    <row r="152" ht="15.75" customHeight="1">
      <c r="G152" s="597"/>
    </row>
    <row r="153" ht="15.75" customHeight="1">
      <c r="G153" s="597"/>
    </row>
    <row r="154" ht="15.75" customHeight="1">
      <c r="G154" s="597"/>
    </row>
    <row r="155" ht="15.75" customHeight="1">
      <c r="G155" s="597"/>
    </row>
    <row r="156" ht="15.75" customHeight="1">
      <c r="G156" s="597"/>
    </row>
    <row r="157" ht="15.75" customHeight="1">
      <c r="G157" s="597"/>
    </row>
    <row r="158" ht="15.75" customHeight="1">
      <c r="G158" s="597"/>
    </row>
    <row r="159" ht="15.75" customHeight="1">
      <c r="G159" s="597"/>
    </row>
    <row r="160" ht="15.75" customHeight="1">
      <c r="G160" s="597"/>
    </row>
    <row r="161" ht="15.75" customHeight="1">
      <c r="G161" s="597"/>
    </row>
    <row r="162" ht="15.75" customHeight="1">
      <c r="G162" s="597"/>
    </row>
    <row r="163" ht="15.75" customHeight="1">
      <c r="G163" s="597"/>
    </row>
    <row r="164" ht="15.75" customHeight="1">
      <c r="G164" s="597"/>
    </row>
    <row r="165" ht="15.75" customHeight="1">
      <c r="G165" s="597"/>
    </row>
    <row r="166" ht="15.75" customHeight="1">
      <c r="G166" s="597"/>
    </row>
    <row r="167" ht="15.75" customHeight="1">
      <c r="G167" s="597"/>
    </row>
    <row r="168" ht="15.75" customHeight="1">
      <c r="G168" s="597"/>
    </row>
    <row r="169" ht="15.75" customHeight="1">
      <c r="G169" s="597"/>
    </row>
    <row r="170" ht="15.75" customHeight="1">
      <c r="G170" s="597"/>
    </row>
    <row r="171" ht="15.75" customHeight="1">
      <c r="G171" s="597"/>
    </row>
    <row r="172" ht="15.75" customHeight="1">
      <c r="G172" s="597"/>
    </row>
    <row r="173" ht="15.75" customHeight="1">
      <c r="G173" s="597"/>
    </row>
    <row r="174" ht="15.75" customHeight="1">
      <c r="G174" s="597"/>
    </row>
    <row r="175" ht="15.75" customHeight="1">
      <c r="G175" s="597"/>
    </row>
    <row r="176" ht="15.75" customHeight="1">
      <c r="G176" s="597"/>
    </row>
    <row r="177" ht="15.75" customHeight="1">
      <c r="G177" s="597"/>
    </row>
    <row r="178" ht="15.75" customHeight="1">
      <c r="G178" s="597"/>
    </row>
    <row r="179" ht="15.75" customHeight="1">
      <c r="G179" s="597"/>
    </row>
    <row r="180" ht="15.75" customHeight="1">
      <c r="G180" s="597"/>
    </row>
    <row r="181" ht="15.75" customHeight="1">
      <c r="G181" s="597"/>
    </row>
    <row r="182" ht="15.75" customHeight="1">
      <c r="G182" s="597"/>
    </row>
    <row r="183" ht="15.75" customHeight="1">
      <c r="G183" s="597"/>
    </row>
    <row r="184" ht="15.75" customHeight="1">
      <c r="G184" s="597"/>
    </row>
    <row r="185" ht="15.75" customHeight="1">
      <c r="G185" s="597"/>
    </row>
    <row r="186" ht="15.75" customHeight="1">
      <c r="G186" s="597"/>
    </row>
    <row r="187" ht="15.75" customHeight="1">
      <c r="G187" s="597"/>
    </row>
    <row r="188" ht="15.75" customHeight="1">
      <c r="G188" s="597"/>
    </row>
    <row r="189" ht="15.75" customHeight="1">
      <c r="G189" s="597"/>
    </row>
    <row r="190" ht="15.75" customHeight="1">
      <c r="G190" s="597"/>
    </row>
    <row r="191" ht="15.75" customHeight="1">
      <c r="G191" s="597"/>
    </row>
    <row r="192" ht="15.75" customHeight="1">
      <c r="G192" s="597"/>
    </row>
    <row r="193" ht="15.75" customHeight="1">
      <c r="G193" s="597"/>
    </row>
    <row r="194" ht="15.75" customHeight="1">
      <c r="G194" s="597"/>
    </row>
    <row r="195" ht="15.75" customHeight="1">
      <c r="G195" s="597"/>
    </row>
    <row r="196" ht="15.75" customHeight="1">
      <c r="G196" s="597"/>
    </row>
    <row r="197" ht="15.75" customHeight="1">
      <c r="G197" s="597"/>
    </row>
    <row r="198" ht="15.75" customHeight="1">
      <c r="G198" s="597"/>
    </row>
    <row r="199" ht="15.75" customHeight="1">
      <c r="G199" s="597"/>
    </row>
    <row r="200" ht="15.75" customHeight="1">
      <c r="G200" s="597"/>
    </row>
    <row r="201" ht="15.75" customHeight="1">
      <c r="G201" s="597"/>
    </row>
    <row r="202" ht="15.75" customHeight="1">
      <c r="G202" s="597"/>
    </row>
    <row r="203" ht="15.75" customHeight="1">
      <c r="G203" s="597"/>
    </row>
    <row r="204" ht="15.75" customHeight="1">
      <c r="G204" s="597"/>
    </row>
    <row r="205" ht="15.75" customHeight="1">
      <c r="G205" s="597"/>
    </row>
    <row r="206" ht="15.75" customHeight="1">
      <c r="G206" s="597"/>
    </row>
    <row r="207" ht="15.75" customHeight="1">
      <c r="G207" s="597"/>
    </row>
    <row r="208" ht="15.75" customHeight="1">
      <c r="G208" s="597"/>
    </row>
    <row r="209" ht="15.75" customHeight="1">
      <c r="G209" s="597"/>
    </row>
    <row r="210" ht="15.75" customHeight="1">
      <c r="G210" s="597"/>
    </row>
    <row r="211" ht="15.75" customHeight="1">
      <c r="G211" s="597"/>
    </row>
    <row r="212" ht="15.75" customHeight="1">
      <c r="G212" s="597"/>
    </row>
    <row r="213" ht="15.75" customHeight="1">
      <c r="G213" s="597"/>
    </row>
    <row r="214" ht="15.75" customHeight="1">
      <c r="G214" s="597"/>
    </row>
    <row r="215" ht="15.75" customHeight="1">
      <c r="G215" s="597"/>
    </row>
    <row r="216" ht="15.75" customHeight="1">
      <c r="G216" s="597"/>
    </row>
    <row r="217" ht="15.75" customHeight="1">
      <c r="G217" s="597"/>
    </row>
    <row r="218" ht="15.75" customHeight="1">
      <c r="G218" s="597"/>
    </row>
    <row r="219" ht="15.75" customHeight="1">
      <c r="G219" s="597"/>
    </row>
    <row r="220" ht="15.75" customHeight="1">
      <c r="G220" s="597"/>
    </row>
    <row r="221" ht="15.75" customHeight="1">
      <c r="G221" s="597"/>
    </row>
    <row r="222" ht="15.75" customHeight="1">
      <c r="G222" s="597"/>
    </row>
    <row r="223" ht="15.75" customHeight="1">
      <c r="G223" s="597"/>
    </row>
    <row r="224" ht="15.75" customHeight="1">
      <c r="G224" s="597"/>
    </row>
    <row r="225" ht="15.75" customHeight="1">
      <c r="G225" s="597"/>
    </row>
    <row r="226" ht="15.75" customHeight="1">
      <c r="G226" s="597"/>
    </row>
    <row r="227" ht="15.75" customHeight="1">
      <c r="G227" s="597"/>
    </row>
    <row r="228" ht="15.75" customHeight="1">
      <c r="G228" s="597"/>
    </row>
    <row r="229" ht="15.75" customHeight="1">
      <c r="G229" s="597"/>
    </row>
    <row r="230" ht="15.75" customHeight="1">
      <c r="G230" s="597"/>
    </row>
    <row r="231" ht="15.75" customHeight="1">
      <c r="G231" s="597"/>
    </row>
    <row r="232" ht="15.75" customHeight="1">
      <c r="G232" s="597"/>
    </row>
    <row r="233" ht="15.75" customHeight="1">
      <c r="G233" s="597"/>
    </row>
    <row r="234" ht="15.75" customHeight="1">
      <c r="G234" s="597"/>
    </row>
    <row r="235" ht="15.75" customHeight="1">
      <c r="G235" s="597"/>
    </row>
    <row r="236" ht="15.75" customHeight="1">
      <c r="G236" s="597"/>
    </row>
    <row r="237" ht="15.75" customHeight="1">
      <c r="G237" s="597"/>
    </row>
    <row r="238" ht="15.75" customHeight="1">
      <c r="G238" s="597"/>
    </row>
    <row r="239" ht="15.75" customHeight="1">
      <c r="G239" s="597"/>
    </row>
    <row r="240" ht="15.75" customHeight="1">
      <c r="G240" s="597"/>
    </row>
    <row r="241" ht="15.75" customHeight="1">
      <c r="G241" s="597"/>
    </row>
    <row r="242" ht="15.75" customHeight="1">
      <c r="G242" s="597"/>
    </row>
    <row r="243" ht="15.75" customHeight="1">
      <c r="G243" s="597"/>
    </row>
    <row r="244" ht="15.75" customHeight="1">
      <c r="G244" s="597"/>
    </row>
    <row r="245" ht="15.75" customHeight="1">
      <c r="G245" s="597"/>
    </row>
    <row r="246" ht="15.75" customHeight="1">
      <c r="G246" s="597"/>
    </row>
    <row r="247" ht="15.75" customHeight="1">
      <c r="G247" s="597"/>
    </row>
    <row r="248" ht="15.75" customHeight="1">
      <c r="G248" s="597"/>
    </row>
    <row r="249" ht="15.75" customHeight="1">
      <c r="G249" s="597"/>
    </row>
    <row r="250" ht="15.75" customHeight="1">
      <c r="G250" s="597"/>
    </row>
    <row r="251" ht="15.75" customHeight="1">
      <c r="G251" s="597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6">
    <mergeCell ref="G2:Q3"/>
    <mergeCell ref="H5:L5"/>
    <mergeCell ref="N5:S5"/>
    <mergeCell ref="B18:C18"/>
    <mergeCell ref="E18:F18"/>
    <mergeCell ref="B32:C32"/>
  </mergeCells>
  <printOptions/>
  <pageMargins bottom="0.75" footer="0.0" header="0.0" left="0.7" right="0.7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66FF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30.43"/>
    <col customWidth="1" min="3" max="3" width="8.14"/>
    <col customWidth="1" min="4" max="20" width="9.14"/>
    <col customWidth="1" min="21" max="21" width="12.14"/>
    <col customWidth="1" min="22" max="22" width="7.14"/>
    <col customWidth="1" min="23" max="23" width="24.86"/>
  </cols>
  <sheetData>
    <row r="1">
      <c r="U1" s="1"/>
    </row>
    <row r="2">
      <c r="U2" s="1"/>
    </row>
    <row r="3">
      <c r="B3" s="761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762"/>
    </row>
    <row r="4">
      <c r="B4" s="763" t="s">
        <v>792</v>
      </c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</row>
    <row r="5">
      <c r="B5" s="765" t="s">
        <v>793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ht="18.0" customHeight="1">
      <c r="D6" s="126"/>
      <c r="E6" s="126"/>
      <c r="F6" s="126"/>
      <c r="G6" s="127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2" t="s">
        <v>20</v>
      </c>
      <c r="S6" s="2" t="s">
        <v>21</v>
      </c>
      <c r="T6" s="2" t="s">
        <v>794</v>
      </c>
      <c r="U6" s="458"/>
      <c r="W6" s="766" t="s">
        <v>795</v>
      </c>
    </row>
    <row r="7">
      <c r="B7" s="767" t="s">
        <v>796</v>
      </c>
      <c r="D7" s="768">
        <f>ECLIPSE!G13</f>
        <v>0</v>
      </c>
      <c r="E7" s="769">
        <f>ECLIPSE!H13</f>
        <v>0</v>
      </c>
      <c r="F7" s="770">
        <f>ECLIPSE!I13</f>
        <v>0</v>
      </c>
      <c r="G7" s="771">
        <f>ECLIPSE!J13</f>
        <v>0</v>
      </c>
      <c r="H7" s="772">
        <f>ECLIPSE!K13</f>
        <v>0</v>
      </c>
      <c r="I7" s="773">
        <f>ECLIPSE!L13</f>
        <v>0</v>
      </c>
      <c r="J7" s="774">
        <f>ECLIPSE!M13</f>
        <v>0</v>
      </c>
      <c r="K7" s="775">
        <f>ECLIPSE!N13</f>
        <v>0</v>
      </c>
      <c r="L7" s="776">
        <f>ECLIPSE!O13</f>
        <v>0</v>
      </c>
      <c r="M7" s="777">
        <f>ECLIPSE!P13</f>
        <v>0</v>
      </c>
      <c r="N7" s="778">
        <f>ECLIPSE!Q13</f>
        <v>0</v>
      </c>
      <c r="O7" s="779">
        <f>ECLIPSE!R13</f>
        <v>0</v>
      </c>
      <c r="P7" s="780">
        <f>ECLIPSE!S13</f>
        <v>0</v>
      </c>
      <c r="Q7" s="204">
        <f>ECLIPSE!T13</f>
        <v>0</v>
      </c>
      <c r="R7" s="307">
        <f>ECLIPSE!U13</f>
        <v>0</v>
      </c>
      <c r="S7" s="307">
        <f>ECLIPSE!V13</f>
        <v>0</v>
      </c>
      <c r="T7" s="307">
        <f>ECLIPSE!W13</f>
        <v>0</v>
      </c>
      <c r="U7" s="781">
        <f>ECLIPSE!X13</f>
        <v>0</v>
      </c>
      <c r="W7" s="782"/>
    </row>
    <row r="8">
      <c r="C8" s="5"/>
      <c r="D8" s="126"/>
      <c r="E8" s="126"/>
      <c r="F8" s="126"/>
      <c r="G8" s="127"/>
      <c r="H8" s="126"/>
      <c r="I8" s="126"/>
      <c r="J8" s="126"/>
      <c r="K8" s="126"/>
      <c r="L8" s="126"/>
      <c r="M8" s="126"/>
      <c r="N8" s="126"/>
      <c r="O8" s="126"/>
      <c r="P8" s="126"/>
      <c r="Q8" s="127"/>
      <c r="R8" s="126"/>
      <c r="S8" s="2"/>
      <c r="T8" s="2"/>
      <c r="U8" s="458"/>
    </row>
    <row r="9">
      <c r="B9" s="767" t="s">
        <v>797</v>
      </c>
      <c r="D9" s="768">
        <f>ECLIPSE!G29</f>
        <v>0</v>
      </c>
      <c r="E9" s="769">
        <f>ECLIPSE!H29</f>
        <v>0</v>
      </c>
      <c r="F9" s="770">
        <f>ECLIPSE!I29</f>
        <v>0</v>
      </c>
      <c r="G9" s="771">
        <f>ECLIPSE!J29</f>
        <v>0</v>
      </c>
      <c r="H9" s="772">
        <f>ECLIPSE!K29</f>
        <v>0</v>
      </c>
      <c r="I9" s="773">
        <f>ECLIPSE!L29</f>
        <v>0</v>
      </c>
      <c r="J9" s="774">
        <f>ECLIPSE!M29</f>
        <v>0</v>
      </c>
      <c r="K9" s="775">
        <f>ECLIPSE!N29</f>
        <v>0</v>
      </c>
      <c r="L9" s="776">
        <f>ECLIPSE!O29</f>
        <v>0</v>
      </c>
      <c r="M9" s="777">
        <f>ECLIPSE!P29</f>
        <v>0</v>
      </c>
      <c r="N9" s="778">
        <f>ECLIPSE!Q29</f>
        <v>0</v>
      </c>
      <c r="O9" s="779">
        <f>ECLIPSE!R29</f>
        <v>0</v>
      </c>
      <c r="P9" s="780">
        <f>ECLIPSE!S29</f>
        <v>0</v>
      </c>
      <c r="Q9" s="204">
        <f>ECLIPSE!T29</f>
        <v>0</v>
      </c>
      <c r="R9" s="307">
        <f>ECLIPSE!U29</f>
        <v>0</v>
      </c>
      <c r="S9" s="307">
        <f>ECLIPSE!V29</f>
        <v>0</v>
      </c>
      <c r="T9" s="307">
        <f>ECLIPSE!W29</f>
        <v>0</v>
      </c>
      <c r="U9" s="781">
        <f>ECLIPSE!X29</f>
        <v>0</v>
      </c>
      <c r="W9" s="783" t="s">
        <v>798</v>
      </c>
    </row>
    <row r="10">
      <c r="C10" s="5"/>
      <c r="D10" s="126"/>
      <c r="E10" s="126"/>
      <c r="F10" s="126"/>
      <c r="G10" s="127"/>
      <c r="H10" s="126"/>
      <c r="I10" s="126"/>
      <c r="J10" s="126"/>
      <c r="K10" s="126"/>
      <c r="L10" s="126"/>
      <c r="M10" s="126"/>
      <c r="N10" s="126"/>
      <c r="O10" s="126"/>
      <c r="P10" s="126"/>
      <c r="Q10" s="127"/>
      <c r="R10" s="126"/>
      <c r="S10" s="2"/>
      <c r="T10" s="2"/>
      <c r="U10" s="458"/>
      <c r="W10" s="784" t="s">
        <v>799</v>
      </c>
    </row>
    <row r="11">
      <c r="B11" s="767" t="s">
        <v>800</v>
      </c>
      <c r="C11" s="5"/>
      <c r="D11" s="768">
        <f>ECLIPSE!G43</f>
        <v>0</v>
      </c>
      <c r="E11" s="769">
        <f>ECLIPSE!H43</f>
        <v>0</v>
      </c>
      <c r="F11" s="770">
        <f>ECLIPSE!I43</f>
        <v>0</v>
      </c>
      <c r="G11" s="771">
        <f>ECLIPSE!J43</f>
        <v>0</v>
      </c>
      <c r="H11" s="772">
        <f>ECLIPSE!K43</f>
        <v>0</v>
      </c>
      <c r="I11" s="773">
        <f>ECLIPSE!L43</f>
        <v>0</v>
      </c>
      <c r="J11" s="774">
        <f>ECLIPSE!M43</f>
        <v>0</v>
      </c>
      <c r="K11" s="775">
        <f>ECLIPSE!N43</f>
        <v>0</v>
      </c>
      <c r="L11" s="776">
        <f>ECLIPSE!O43</f>
        <v>0</v>
      </c>
      <c r="M11" s="777">
        <f>ECLIPSE!P43</f>
        <v>0</v>
      </c>
      <c r="N11" s="778">
        <f>ECLIPSE!Q43</f>
        <v>0</v>
      </c>
      <c r="O11" s="779">
        <f>ECLIPSE!R43</f>
        <v>0</v>
      </c>
      <c r="P11" s="780">
        <f>ECLIPSE!S43</f>
        <v>0</v>
      </c>
      <c r="Q11" s="204">
        <f>ECLIPSE!T43</f>
        <v>0</v>
      </c>
      <c r="R11" s="307">
        <f>ECLIPSE!U43</f>
        <v>0</v>
      </c>
      <c r="S11" s="307">
        <f>ECLIPSE!V43</f>
        <v>0</v>
      </c>
      <c r="T11" s="307">
        <f>ECLIPSE!W43</f>
        <v>0</v>
      </c>
      <c r="U11" s="781">
        <f>ECLIPSE!X43</f>
        <v>0</v>
      </c>
      <c r="W11" s="785" t="s">
        <v>801</v>
      </c>
    </row>
    <row r="12">
      <c r="W12" s="786" t="s">
        <v>802</v>
      </c>
    </row>
    <row r="13">
      <c r="B13" s="787" t="s">
        <v>803</v>
      </c>
      <c r="C13" s="5"/>
      <c r="D13" s="768">
        <f>TERROR!G19</f>
        <v>0</v>
      </c>
      <c r="E13" s="769">
        <f>TERROR!H19</f>
        <v>0</v>
      </c>
      <c r="F13" s="770">
        <f>TERROR!I19</f>
        <v>0</v>
      </c>
      <c r="G13" s="771">
        <f>TERROR!J19</f>
        <v>0</v>
      </c>
      <c r="H13" s="772">
        <f>TERROR!K19</f>
        <v>0</v>
      </c>
      <c r="I13" s="773">
        <f>TERROR!L19</f>
        <v>0</v>
      </c>
      <c r="J13" s="774">
        <f>TERROR!M19</f>
        <v>0</v>
      </c>
      <c r="K13" s="775">
        <f>TERROR!N19</f>
        <v>0</v>
      </c>
      <c r="L13" s="776">
        <f>TERROR!O19</f>
        <v>0</v>
      </c>
      <c r="M13" s="777">
        <f>TERROR!P19</f>
        <v>0</v>
      </c>
      <c r="N13" s="778">
        <f>TERROR!Q19</f>
        <v>0</v>
      </c>
      <c r="O13" s="779">
        <f>TERROR!R19</f>
        <v>0</v>
      </c>
      <c r="P13" s="780">
        <f>TERROR!S19</f>
        <v>0</v>
      </c>
      <c r="Q13" s="204">
        <f>TERROR!T19</f>
        <v>0</v>
      </c>
      <c r="R13" s="307">
        <f>TERROR!U19</f>
        <v>0</v>
      </c>
      <c r="S13" s="307">
        <f>TERROR!V19</f>
        <v>0</v>
      </c>
      <c r="T13" s="307">
        <f>TERROR!W19</f>
        <v>0</v>
      </c>
      <c r="U13" s="781">
        <f>TERROR!X19</f>
        <v>0</v>
      </c>
      <c r="W13" s="788" t="s">
        <v>804</v>
      </c>
    </row>
    <row r="14">
      <c r="C14" s="5"/>
      <c r="D14" s="126"/>
      <c r="E14" s="126"/>
      <c r="F14" s="126"/>
      <c r="G14" s="126"/>
      <c r="H14" s="126"/>
      <c r="I14" s="126"/>
      <c r="J14" s="126"/>
      <c r="K14" s="126"/>
      <c r="L14" s="789"/>
      <c r="M14" s="126"/>
      <c r="N14" s="126"/>
      <c r="O14" s="126"/>
      <c r="P14" s="126"/>
      <c r="Q14" s="127"/>
      <c r="R14" s="126"/>
      <c r="S14" s="2"/>
      <c r="T14" s="2"/>
      <c r="U14" s="458"/>
      <c r="W14" s="790" t="s">
        <v>805</v>
      </c>
    </row>
    <row r="15">
      <c r="B15" s="791" t="s">
        <v>806</v>
      </c>
      <c r="C15" s="5"/>
      <c r="D15" s="192">
        <f>'FANGS DT'!G18</f>
        <v>0</v>
      </c>
      <c r="E15" s="193">
        <f>'FANGS DT'!H18</f>
        <v>0</v>
      </c>
      <c r="F15" s="233">
        <f>'FANGS DT'!I18</f>
        <v>0</v>
      </c>
      <c r="G15" s="792">
        <f>'FANGS DT'!J18</f>
        <v>0</v>
      </c>
      <c r="H15" s="234">
        <f>'FANGS DT'!K18</f>
        <v>0</v>
      </c>
      <c r="I15" s="793">
        <f>'FANGS DT'!L18</f>
        <v>0</v>
      </c>
      <c r="J15" s="198">
        <f>'FANGS DT'!M18</f>
        <v>0</v>
      </c>
      <c r="K15" s="199">
        <f>'FANGS DT'!N18</f>
        <v>0</v>
      </c>
      <c r="L15" s="200">
        <f>'FANGS DT'!O18</f>
        <v>0</v>
      </c>
      <c r="M15" s="201">
        <f>'FANGS DT'!P18</f>
        <v>0</v>
      </c>
      <c r="N15" s="202">
        <f>'FANGS DT'!Q18</f>
        <v>0</v>
      </c>
      <c r="O15" s="794">
        <f>'FANGS DT'!R18</f>
        <v>0</v>
      </c>
      <c r="P15" s="795">
        <f>'FANGS DT'!S18</f>
        <v>0</v>
      </c>
      <c r="Q15" s="796">
        <f>'FANGS DT'!T18</f>
        <v>0</v>
      </c>
      <c r="R15" s="122">
        <f>'FANGS DT'!U18</f>
        <v>0</v>
      </c>
      <c r="S15" s="122">
        <f>'FANGS DT'!V18</f>
        <v>0</v>
      </c>
      <c r="T15" s="122">
        <f>'FANGS DT'!W18</f>
        <v>0</v>
      </c>
      <c r="U15" s="781">
        <f>'FANGS DT'!X18</f>
        <v>0</v>
      </c>
      <c r="W15" s="797" t="s">
        <v>807</v>
      </c>
    </row>
    <row r="16">
      <c r="B16" s="798"/>
      <c r="C16" s="5"/>
      <c r="D16" s="799"/>
      <c r="E16" s="799"/>
      <c r="F16" s="799"/>
      <c r="G16" s="800"/>
      <c r="H16" s="799"/>
      <c r="I16" s="799"/>
      <c r="J16" s="799"/>
      <c r="K16" s="799"/>
      <c r="L16" s="799"/>
      <c r="M16" s="799"/>
      <c r="N16" s="799"/>
      <c r="O16" s="799"/>
      <c r="P16" s="799"/>
      <c r="Q16" s="800"/>
      <c r="R16" s="126"/>
      <c r="S16" s="2"/>
      <c r="T16" s="2"/>
      <c r="U16" s="781"/>
      <c r="W16" s="801" t="s">
        <v>808</v>
      </c>
    </row>
    <row r="17">
      <c r="B17" s="802" t="s">
        <v>809</v>
      </c>
      <c r="C17" s="5"/>
      <c r="D17" s="192">
        <f>'COMMAS DT'!G12</f>
        <v>0</v>
      </c>
      <c r="E17" s="193">
        <f>'COMMAS DT'!H12</f>
        <v>0</v>
      </c>
      <c r="F17" s="233">
        <f>'COMMAS DT'!I12</f>
        <v>0</v>
      </c>
      <c r="G17" s="792">
        <f>'COMMAS DT'!J12</f>
        <v>0</v>
      </c>
      <c r="H17" s="234">
        <f>'COMMAS DT'!K12</f>
        <v>0</v>
      </c>
      <c r="I17" s="793">
        <f>'COMMAS DT'!L12</f>
        <v>0</v>
      </c>
      <c r="J17" s="198">
        <f>'COMMAS DT'!M12</f>
        <v>0</v>
      </c>
      <c r="K17" s="199">
        <f>'COMMAS DT'!N12</f>
        <v>0</v>
      </c>
      <c r="L17" s="200">
        <f>'COMMAS DT'!O12</f>
        <v>0</v>
      </c>
      <c r="M17" s="201">
        <f>'COMMAS DT'!P12</f>
        <v>0</v>
      </c>
      <c r="N17" s="202">
        <f>'COMMAS DT'!Q12</f>
        <v>0</v>
      </c>
      <c r="O17" s="794">
        <f>'COMMAS DT'!R12</f>
        <v>0</v>
      </c>
      <c r="P17" s="795">
        <f>'COMMAS DT'!S12</f>
        <v>0</v>
      </c>
      <c r="Q17" s="796">
        <f>'COMMAS DT'!T12</f>
        <v>0</v>
      </c>
      <c r="R17" s="122">
        <f>'COMMAS DT'!U12</f>
        <v>0</v>
      </c>
      <c r="S17" s="122">
        <f>'COMMAS DT'!V12</f>
        <v>0</v>
      </c>
      <c r="T17" s="122">
        <f>'COMMAS DT'!W12</f>
        <v>0</v>
      </c>
      <c r="U17" s="781">
        <f>'COMMAS DT'!X12</f>
        <v>0</v>
      </c>
      <c r="W17" s="803" t="s">
        <v>810</v>
      </c>
    </row>
    <row r="18">
      <c r="C18" s="5"/>
      <c r="D18" s="126"/>
      <c r="E18" s="126"/>
      <c r="F18" s="126"/>
      <c r="G18" s="127"/>
      <c r="H18" s="126"/>
      <c r="I18" s="126"/>
      <c r="J18" s="126"/>
      <c r="K18" s="126"/>
      <c r="L18" s="126"/>
      <c r="M18" s="126"/>
      <c r="N18" s="126"/>
      <c r="O18" s="126"/>
      <c r="P18" s="126"/>
      <c r="Q18" s="127"/>
      <c r="R18" s="126"/>
      <c r="S18" s="2"/>
      <c r="T18" s="2"/>
      <c r="U18" s="781"/>
      <c r="W18" s="804" t="s">
        <v>811</v>
      </c>
    </row>
    <row r="19">
      <c r="B19" s="802" t="s">
        <v>118</v>
      </c>
      <c r="C19" s="5"/>
      <c r="D19" s="192">
        <f>'COMMAS DT'!G28</f>
        <v>0</v>
      </c>
      <c r="E19" s="193">
        <f>'COMMAS DT'!H28</f>
        <v>0</v>
      </c>
      <c r="F19" s="233">
        <f>'COMMAS DT'!I28</f>
        <v>0</v>
      </c>
      <c r="G19" s="792">
        <f>'COMMAS DT'!J28</f>
        <v>0</v>
      </c>
      <c r="H19" s="234">
        <f>'COMMAS DT'!K28</f>
        <v>0</v>
      </c>
      <c r="I19" s="793">
        <f>'COMMAS DT'!L28</f>
        <v>0</v>
      </c>
      <c r="J19" s="198">
        <f>'COMMAS DT'!M28</f>
        <v>0</v>
      </c>
      <c r="K19" s="199">
        <f>'COMMAS DT'!N28</f>
        <v>0</v>
      </c>
      <c r="L19" s="200">
        <f>'COMMAS DT'!O28</f>
        <v>0</v>
      </c>
      <c r="M19" s="201">
        <f>'COMMAS DT'!P28</f>
        <v>0</v>
      </c>
      <c r="N19" s="202">
        <f>'COMMAS DT'!Q28</f>
        <v>0</v>
      </c>
      <c r="O19" s="794">
        <f>'COMMAS DT'!R28</f>
        <v>0</v>
      </c>
      <c r="P19" s="795">
        <f>'COMMAS DT'!S28</f>
        <v>0</v>
      </c>
      <c r="Q19" s="796">
        <f>'COMMAS DT'!T28</f>
        <v>0</v>
      </c>
      <c r="R19" s="122">
        <f>'COMMAS DT'!U28</f>
        <v>0</v>
      </c>
      <c r="S19" s="122">
        <f>'COMMAS DT'!V28</f>
        <v>0</v>
      </c>
      <c r="T19" s="122">
        <f>'COMMAS DT'!W28</f>
        <v>0</v>
      </c>
      <c r="U19" s="781">
        <f>'COMMAS DT'!X28</f>
        <v>0</v>
      </c>
      <c r="W19" s="805" t="s">
        <v>812</v>
      </c>
    </row>
    <row r="20">
      <c r="U20" s="781"/>
      <c r="W20" s="21"/>
    </row>
    <row r="21" ht="15.75" customHeight="1">
      <c r="B21" s="802" t="s">
        <v>813</v>
      </c>
      <c r="C21" s="5"/>
      <c r="D21" s="768">
        <f>'COMMAS PE'!G14</f>
        <v>0</v>
      </c>
      <c r="E21" s="193">
        <f>'COMMAS PE'!H14</f>
        <v>0</v>
      </c>
      <c r="F21" s="233">
        <f>'COMMAS PE'!I14</f>
        <v>0</v>
      </c>
      <c r="G21" s="792">
        <f>'COMMAS PE'!J14</f>
        <v>0</v>
      </c>
      <c r="H21" s="234">
        <f>'COMMAS PE'!K14</f>
        <v>0</v>
      </c>
      <c r="I21" s="793">
        <f>'COMMAS PE'!L14</f>
        <v>0</v>
      </c>
      <c r="J21" s="198">
        <f>'COMMAS PE'!M14</f>
        <v>0</v>
      </c>
      <c r="K21" s="199">
        <f>'COMMAS PE'!N14</f>
        <v>0</v>
      </c>
      <c r="L21" s="200">
        <f>'COMMAS PE'!O14</f>
        <v>0</v>
      </c>
      <c r="M21" s="201">
        <f>'COMMAS PE'!P14</f>
        <v>0</v>
      </c>
      <c r="N21" s="202">
        <f>'COMMAS PE'!Q14</f>
        <v>0</v>
      </c>
      <c r="O21" s="794">
        <f>'COMMAS PE'!R14</f>
        <v>0</v>
      </c>
      <c r="P21" s="795">
        <f>'COMMAS PE'!S14</f>
        <v>0</v>
      </c>
      <c r="Q21" s="796">
        <f>'COMMAS PE'!T14</f>
        <v>0</v>
      </c>
      <c r="R21" s="307">
        <f>'COMMAS PE'!U14</f>
        <v>0</v>
      </c>
      <c r="S21" s="307">
        <f>'COMMAS PE'!V14</f>
        <v>0</v>
      </c>
      <c r="T21" s="307">
        <f>'COMMAS PE'!W14</f>
        <v>0</v>
      </c>
      <c r="U21" s="781">
        <f>'COMMAS PE'!X14</f>
        <v>0</v>
      </c>
      <c r="W21" s="21"/>
    </row>
    <row r="22" ht="15.75" customHeight="1">
      <c r="W22" s="21" t="s">
        <v>814</v>
      </c>
    </row>
    <row r="23" ht="15.75" customHeight="1">
      <c r="B23" s="791" t="s">
        <v>217</v>
      </c>
      <c r="D23" s="768">
        <f>DRIFTS!G35</f>
        <v>0</v>
      </c>
      <c r="E23" s="769">
        <f>DRIFTS!H35</f>
        <v>0</v>
      </c>
      <c r="F23" s="770">
        <f>DRIFTS!I35</f>
        <v>0</v>
      </c>
      <c r="G23" s="771">
        <f>DRIFTS!J35</f>
        <v>0</v>
      </c>
      <c r="H23" s="772">
        <f>DRIFTS!K35</f>
        <v>0</v>
      </c>
      <c r="I23" s="773">
        <f>DRIFTS!L35</f>
        <v>0</v>
      </c>
      <c r="J23" s="774">
        <f>DRIFTS!M35</f>
        <v>0</v>
      </c>
      <c r="K23" s="775">
        <f>DRIFTS!N35</f>
        <v>0</v>
      </c>
      <c r="L23" s="776">
        <f>DRIFTS!O35</f>
        <v>0</v>
      </c>
      <c r="M23" s="777">
        <f>DRIFTS!P35</f>
        <v>0</v>
      </c>
      <c r="N23" s="778">
        <f>DRIFTS!Q35</f>
        <v>0</v>
      </c>
      <c r="O23" s="779">
        <f>DRIFTS!R35</f>
        <v>0</v>
      </c>
      <c r="P23" s="780">
        <f>DRIFTS!S35</f>
        <v>0</v>
      </c>
      <c r="Q23" s="204">
        <f>DRIFTS!T35</f>
        <v>0</v>
      </c>
      <c r="R23" s="307">
        <f>DRIFTS!U35</f>
        <v>0</v>
      </c>
      <c r="S23" s="307">
        <f>DRIFTS!V35</f>
        <v>0</v>
      </c>
      <c r="T23" s="307">
        <f>DRIFTS!W35</f>
        <v>0</v>
      </c>
      <c r="U23" s="781">
        <f>DRIFTS!X35</f>
        <v>0</v>
      </c>
      <c r="W23" s="806" t="s">
        <v>815</v>
      </c>
    </row>
    <row r="24" ht="15.75" customHeight="1">
      <c r="C24" s="5"/>
      <c r="D24" s="126"/>
      <c r="E24" s="126"/>
      <c r="F24" s="126"/>
      <c r="G24" s="127"/>
      <c r="H24" s="126"/>
      <c r="I24" s="126"/>
      <c r="J24" s="126"/>
      <c r="K24" s="126"/>
      <c r="L24" s="126"/>
      <c r="M24" s="126"/>
      <c r="N24" s="126"/>
      <c r="O24" s="126"/>
      <c r="P24" s="126"/>
      <c r="Q24" s="127"/>
      <c r="R24" s="126"/>
      <c r="S24" s="2"/>
      <c r="T24" s="2"/>
      <c r="U24" s="458"/>
    </row>
    <row r="25" ht="15.75" customHeight="1">
      <c r="B25" s="807" t="s">
        <v>300</v>
      </c>
      <c r="D25" s="768">
        <f>LOAVES!G29</f>
        <v>0</v>
      </c>
      <c r="E25" s="769">
        <f>LOAVES!H29</f>
        <v>0</v>
      </c>
      <c r="F25" s="770">
        <f>LOAVES!I29</f>
        <v>0</v>
      </c>
      <c r="G25" s="771">
        <f>LOAVES!J29</f>
        <v>0</v>
      </c>
      <c r="H25" s="772">
        <f>LOAVES!K29</f>
        <v>0</v>
      </c>
      <c r="I25" s="773">
        <f>LOAVES!L29</f>
        <v>0</v>
      </c>
      <c r="J25" s="774">
        <f>LOAVES!M29</f>
        <v>0</v>
      </c>
      <c r="K25" s="775">
        <f>LOAVES!N29</f>
        <v>0</v>
      </c>
      <c r="L25" s="776">
        <f>LOAVES!O29</f>
        <v>0</v>
      </c>
      <c r="M25" s="777">
        <f>LOAVES!P29</f>
        <v>0</v>
      </c>
      <c r="N25" s="778">
        <f>LOAVES!Q29</f>
        <v>0</v>
      </c>
      <c r="O25" s="779">
        <f>LOAVES!R29</f>
        <v>0</v>
      </c>
      <c r="P25" s="780">
        <f>LOAVES!S29</f>
        <v>0</v>
      </c>
      <c r="Q25" s="204">
        <f>LOAVES!T29</f>
        <v>0</v>
      </c>
      <c r="R25" s="307">
        <f>LOAVES!U29</f>
        <v>0</v>
      </c>
      <c r="S25" s="307">
        <f>LOAVES!V29</f>
        <v>0</v>
      </c>
      <c r="T25" s="307">
        <f>LOAVES!W29</f>
        <v>0</v>
      </c>
      <c r="U25" s="781">
        <f>LOAVES!X29</f>
        <v>0</v>
      </c>
    </row>
    <row r="26" ht="15.75" customHeight="1">
      <c r="C26" s="5"/>
      <c r="D26" s="126"/>
      <c r="E26" s="126"/>
      <c r="F26" s="126"/>
      <c r="G26" s="127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26"/>
      <c r="S26" s="2"/>
      <c r="T26" s="2"/>
      <c r="U26" s="458"/>
    </row>
    <row r="27" ht="15.75" customHeight="1">
      <c r="B27" s="802" t="s">
        <v>346</v>
      </c>
      <c r="D27" s="768">
        <f>'ROCK LINE'!G38</f>
        <v>0</v>
      </c>
      <c r="E27" s="769">
        <f>'ROCK LINE'!H38</f>
        <v>0</v>
      </c>
      <c r="F27" s="770">
        <f>'ROCK LINE'!I38</f>
        <v>0</v>
      </c>
      <c r="G27" s="771">
        <f>'ROCK LINE'!J38</f>
        <v>0</v>
      </c>
      <c r="H27" s="772">
        <f>'ROCK LINE'!K38</f>
        <v>0</v>
      </c>
      <c r="I27" s="773">
        <f>'ROCK LINE'!L38</f>
        <v>0</v>
      </c>
      <c r="J27" s="774">
        <f>'ROCK LINE'!M38</f>
        <v>0</v>
      </c>
      <c r="K27" s="775">
        <f>'ROCK LINE'!N38</f>
        <v>0</v>
      </c>
      <c r="L27" s="776">
        <f>'ROCK LINE'!O38</f>
        <v>0</v>
      </c>
      <c r="M27" s="777">
        <f>'ROCK LINE'!P38</f>
        <v>0</v>
      </c>
      <c r="N27" s="778">
        <f>'ROCK LINE'!Q38</f>
        <v>0</v>
      </c>
      <c r="O27" s="779">
        <f>'ROCK LINE'!R38</f>
        <v>0</v>
      </c>
      <c r="P27" s="780">
        <f>'ROCK LINE'!S38</f>
        <v>0</v>
      </c>
      <c r="Q27" s="204">
        <f>'ROCK LINE'!T38</f>
        <v>0</v>
      </c>
      <c r="R27" s="307">
        <f>'ROCK LINE'!U38</f>
        <v>0</v>
      </c>
      <c r="S27" s="307">
        <f>'ROCK LINE'!V38</f>
        <v>0</v>
      </c>
      <c r="T27" s="307">
        <f>'ROCK LINE'!W38</f>
        <v>0</v>
      </c>
      <c r="U27" s="781">
        <f>'ROCK LINE'!X38</f>
        <v>0</v>
      </c>
    </row>
    <row r="28" ht="15.75" customHeight="1">
      <c r="C28" s="5"/>
      <c r="D28" s="126"/>
      <c r="E28" s="126"/>
      <c r="F28" s="126"/>
      <c r="G28" s="127"/>
      <c r="H28" s="126"/>
      <c r="I28" s="126"/>
      <c r="J28" s="126"/>
      <c r="K28" s="126"/>
      <c r="L28" s="126"/>
      <c r="M28" s="126"/>
      <c r="N28" s="126"/>
      <c r="O28" s="126"/>
      <c r="P28" s="126"/>
      <c r="Q28" s="127"/>
      <c r="R28" s="126"/>
      <c r="S28" s="2"/>
      <c r="T28" s="2"/>
      <c r="U28" s="458"/>
    </row>
    <row r="29" ht="15.75" customHeight="1">
      <c r="B29" s="808" t="s">
        <v>816</v>
      </c>
      <c r="D29" s="768">
        <f>SMOOTHLINE!G19</f>
        <v>0</v>
      </c>
      <c r="E29" s="769">
        <f>SMOOTHLINE!H19</f>
        <v>0</v>
      </c>
      <c r="F29" s="770">
        <f>SMOOTHLINE!I19</f>
        <v>0</v>
      </c>
      <c r="G29" s="771">
        <f>SMOOTHLINE!J19</f>
        <v>0</v>
      </c>
      <c r="H29" s="772">
        <f>SMOOTHLINE!K19</f>
        <v>0</v>
      </c>
      <c r="I29" s="773">
        <f>SMOOTHLINE!L19</f>
        <v>0</v>
      </c>
      <c r="J29" s="774">
        <f>SMOOTHLINE!M19</f>
        <v>0</v>
      </c>
      <c r="K29" s="775">
        <f>SMOOTHLINE!N19</f>
        <v>0</v>
      </c>
      <c r="L29" s="776">
        <f>SMOOTHLINE!O19</f>
        <v>0</v>
      </c>
      <c r="M29" s="777">
        <f>SMOOTHLINE!P19</f>
        <v>0</v>
      </c>
      <c r="N29" s="778">
        <f>SMOOTHLINE!Q19</f>
        <v>0</v>
      </c>
      <c r="O29" s="779">
        <f>SMOOTHLINE!R19</f>
        <v>0</v>
      </c>
      <c r="P29" s="780">
        <f>SMOOTHLINE!S19</f>
        <v>0</v>
      </c>
      <c r="Q29" s="204">
        <f>SMOOTHLINE!T19</f>
        <v>0</v>
      </c>
      <c r="R29" s="307">
        <f>SMOOTHLINE!U19</f>
        <v>0</v>
      </c>
      <c r="S29" s="307">
        <f>SMOOTHLINE!V19</f>
        <v>0</v>
      </c>
      <c r="T29" s="307">
        <f>SMOOTHLINE!W19</f>
        <v>0</v>
      </c>
      <c r="U29" s="781">
        <f>SMOOTHLINE!X19</f>
        <v>0</v>
      </c>
    </row>
    <row r="30" ht="15.75" customHeight="1">
      <c r="C30" s="5"/>
      <c r="D30" s="126"/>
      <c r="E30" s="126"/>
      <c r="F30" s="126"/>
      <c r="G30" s="127"/>
      <c r="H30" s="126"/>
      <c r="I30" s="126"/>
      <c r="J30" s="126"/>
      <c r="K30" s="126"/>
      <c r="L30" s="126"/>
      <c r="M30" s="126"/>
      <c r="N30" s="126"/>
      <c r="O30" s="126"/>
      <c r="P30" s="126"/>
      <c r="Q30" s="127"/>
      <c r="R30" s="126"/>
      <c r="S30" s="2"/>
      <c r="T30" s="2"/>
      <c r="U30" s="458"/>
    </row>
    <row r="31" ht="15.75" customHeight="1">
      <c r="B31" s="808" t="s">
        <v>817</v>
      </c>
      <c r="D31" s="768">
        <f>SMOOTHLINE!G56</f>
        <v>0</v>
      </c>
      <c r="E31" s="769">
        <f>SMOOTHLINE!H56</f>
        <v>0</v>
      </c>
      <c r="F31" s="770">
        <f>SMOOTHLINE!I56</f>
        <v>0</v>
      </c>
      <c r="G31" s="771">
        <f>SMOOTHLINE!J56</f>
        <v>0</v>
      </c>
      <c r="H31" s="772">
        <f>SMOOTHLINE!K56</f>
        <v>0</v>
      </c>
      <c r="I31" s="773">
        <f>SMOOTHLINE!L56</f>
        <v>0</v>
      </c>
      <c r="J31" s="774">
        <f>SMOOTHLINE!M56</f>
        <v>0</v>
      </c>
      <c r="K31" s="775">
        <f>SMOOTHLINE!N56</f>
        <v>0</v>
      </c>
      <c r="L31" s="776">
        <f>SMOOTHLINE!O56</f>
        <v>0</v>
      </c>
      <c r="M31" s="777">
        <f>SMOOTHLINE!P56</f>
        <v>0</v>
      </c>
      <c r="N31" s="778">
        <f>SMOOTHLINE!Q56</f>
        <v>0</v>
      </c>
      <c r="O31" s="779">
        <f>SMOOTHLINE!R56</f>
        <v>0</v>
      </c>
      <c r="P31" s="780">
        <f>SMOOTHLINE!S56</f>
        <v>0</v>
      </c>
      <c r="Q31" s="204">
        <f>SMOOTHLINE!T56</f>
        <v>0</v>
      </c>
      <c r="R31" s="307">
        <f>SMOOTHLINE!U56</f>
        <v>0</v>
      </c>
      <c r="S31" s="307">
        <f>SMOOTHLINE!V56</f>
        <v>0</v>
      </c>
      <c r="T31" s="307">
        <f>SMOOTHLINE!W56</f>
        <v>0</v>
      </c>
      <c r="U31" s="781">
        <f>SMOOTHLINE!X56</f>
        <v>0</v>
      </c>
    </row>
    <row r="32" ht="15.75" customHeight="1">
      <c r="B32" s="809"/>
      <c r="D32" s="126"/>
      <c r="E32" s="126"/>
      <c r="F32" s="126"/>
      <c r="G32" s="127"/>
      <c r="H32" s="126"/>
      <c r="I32" s="126"/>
      <c r="J32" s="126"/>
      <c r="K32" s="126"/>
      <c r="L32" s="126"/>
      <c r="M32" s="126"/>
      <c r="N32" s="126"/>
      <c r="O32" s="126"/>
      <c r="P32" s="126"/>
      <c r="Q32" s="127"/>
      <c r="R32" s="2"/>
      <c r="S32" s="2"/>
      <c r="T32" s="2"/>
      <c r="U32" s="458"/>
    </row>
    <row r="33" ht="15.75" customHeight="1">
      <c r="B33" s="802" t="s">
        <v>818</v>
      </c>
      <c r="D33" s="768">
        <f>'HARD BOILED DT'!G28</f>
        <v>0</v>
      </c>
      <c r="E33" s="769">
        <f>'HARD BOILED DT'!H28</f>
        <v>0</v>
      </c>
      <c r="F33" s="770">
        <f>'HARD BOILED DT'!I28</f>
        <v>0</v>
      </c>
      <c r="G33" s="771">
        <f>'HARD BOILED DT'!J28</f>
        <v>0</v>
      </c>
      <c r="H33" s="772">
        <f>'HARD BOILED DT'!K28</f>
        <v>0</v>
      </c>
      <c r="I33" s="773">
        <f>'HARD BOILED DT'!L28</f>
        <v>0</v>
      </c>
      <c r="J33" s="774">
        <f>'HARD BOILED DT'!M28</f>
        <v>0</v>
      </c>
      <c r="K33" s="775">
        <f>'HARD BOILED DT'!N28</f>
        <v>0</v>
      </c>
      <c r="L33" s="776">
        <f>'HARD BOILED DT'!O28</f>
        <v>0</v>
      </c>
      <c r="M33" s="777">
        <f>'HARD BOILED DT'!P28</f>
        <v>0</v>
      </c>
      <c r="N33" s="778">
        <f>'HARD BOILED DT'!Q28</f>
        <v>0</v>
      </c>
      <c r="O33" s="779">
        <f>'HARD BOILED DT'!R28</f>
        <v>0</v>
      </c>
      <c r="P33" s="780">
        <f>'HARD BOILED DT'!S28</f>
        <v>0</v>
      </c>
      <c r="Q33" s="204">
        <f>'HARD BOILED DT'!T28</f>
        <v>0</v>
      </c>
      <c r="R33" s="307">
        <f>'HARD BOILED DT'!U28</f>
        <v>0</v>
      </c>
      <c r="S33" s="307">
        <f>'HARD BOILED DT'!V28</f>
        <v>0</v>
      </c>
      <c r="T33" s="810">
        <f>'HARD BOILED DT'!W28</f>
        <v>0</v>
      </c>
      <c r="U33" s="781">
        <f>'HARD BOILED DT'!X28</f>
        <v>0</v>
      </c>
    </row>
    <row r="34" ht="15.75" customHeight="1"/>
    <row r="35" ht="15.75" customHeight="1">
      <c r="B35" s="811" t="s">
        <v>819</v>
      </c>
      <c r="D35" s="768">
        <f>'DOWN JUG'!G8</f>
        <v>0</v>
      </c>
      <c r="E35" s="769">
        <f>'DOWN JUG'!H8</f>
        <v>0</v>
      </c>
      <c r="F35" s="770">
        <f>'DOWN JUG'!I8</f>
        <v>0</v>
      </c>
      <c r="G35" s="771">
        <f>'DOWN JUG'!J8</f>
        <v>0</v>
      </c>
      <c r="H35" s="772">
        <f>'DOWN JUG'!K8</f>
        <v>0</v>
      </c>
      <c r="I35" s="773">
        <f>'DOWN JUG'!L8</f>
        <v>0</v>
      </c>
      <c r="J35" s="774">
        <f>'DOWN JUG'!M8</f>
        <v>0</v>
      </c>
      <c r="K35" s="775">
        <f>'DOWN JUG'!N8</f>
        <v>0</v>
      </c>
      <c r="L35" s="776">
        <f>'DOWN JUG'!O8</f>
        <v>0</v>
      </c>
      <c r="M35" s="777">
        <f>'DOWN JUG'!P8</f>
        <v>0</v>
      </c>
      <c r="N35" s="778">
        <f>'DOWN JUG'!Q8</f>
        <v>0</v>
      </c>
      <c r="O35" s="779">
        <f>'DOWN JUG'!R8</f>
        <v>0</v>
      </c>
      <c r="P35" s="780">
        <f>'DOWN JUG'!S8</f>
        <v>0</v>
      </c>
      <c r="Q35" s="204">
        <f>'DOWN JUG'!T8</f>
        <v>0</v>
      </c>
      <c r="R35" s="307">
        <f>'DOWN JUG'!U8</f>
        <v>0</v>
      </c>
      <c r="S35" s="307">
        <f>'DOWN JUG'!V8</f>
        <v>0</v>
      </c>
      <c r="T35" s="810">
        <f>'DOWN JUG'!W8</f>
        <v>0</v>
      </c>
      <c r="U35" s="781">
        <f>'DOWN JUG'!X8</f>
        <v>0</v>
      </c>
    </row>
    <row r="36" ht="15.75" customHeight="1">
      <c r="B36" s="809"/>
      <c r="C36" s="809"/>
      <c r="D36" s="809"/>
      <c r="E36" s="809"/>
      <c r="F36" s="809"/>
      <c r="G36" s="809"/>
      <c r="H36" s="809"/>
      <c r="I36" s="809"/>
      <c r="J36" s="809"/>
      <c r="K36" s="809"/>
      <c r="L36" s="809"/>
      <c r="M36" s="809"/>
      <c r="N36" s="809"/>
      <c r="O36" s="809"/>
      <c r="P36" s="809"/>
      <c r="Q36" s="809"/>
      <c r="R36" s="809"/>
      <c r="S36" s="809"/>
      <c r="T36" s="809"/>
      <c r="U36" s="809"/>
      <c r="V36" s="809"/>
    </row>
    <row r="37" ht="15.75" customHeight="1">
      <c r="B37" s="812" t="s">
        <v>820</v>
      </c>
      <c r="D37" s="192">
        <f>'FIBERGLASS MACROS'!H70</f>
        <v>0</v>
      </c>
      <c r="E37" s="769">
        <f>'FIBERGLASS MACROS'!I70</f>
        <v>0</v>
      </c>
      <c r="F37" s="770">
        <f>'FIBERGLASS MACROS'!J70</f>
        <v>0</v>
      </c>
      <c r="G37" s="771">
        <f>'FIBERGLASS MACROS'!K70</f>
        <v>0</v>
      </c>
      <c r="H37" s="813" t="str">
        <f t="shared" ref="H37:J37" si="1">#REF!</f>
        <v>#REF!</v>
      </c>
      <c r="I37" s="197" t="str">
        <f t="shared" si="1"/>
        <v>#REF!</v>
      </c>
      <c r="J37" s="198" t="str">
        <f t="shared" si="1"/>
        <v>#REF!</v>
      </c>
      <c r="K37" s="775">
        <f>'FIBERGLASS MACROS'!L70</f>
        <v>0</v>
      </c>
      <c r="L37" s="776">
        <f>'FIBERGLASS MACROS'!M70</f>
        <v>0</v>
      </c>
      <c r="M37" s="122" t="s">
        <v>821</v>
      </c>
      <c r="N37" s="122" t="s">
        <v>821</v>
      </c>
      <c r="O37" s="779">
        <f>'FIBERGLASS MACROS'!O70</f>
        <v>0</v>
      </c>
      <c r="P37" s="780">
        <f>'FIBERGLASS MACROS'!P70</f>
        <v>0</v>
      </c>
      <c r="Q37" s="814">
        <f>'FIBERGLASS MACROS'!N70</f>
        <v>0</v>
      </c>
      <c r="R37" s="815"/>
      <c r="S37" s="307">
        <f>'FIBERGLASS MACROS'!Q70</f>
        <v>0</v>
      </c>
      <c r="T37" s="307">
        <f>'FIBERGLASS MACROS'!R70</f>
        <v>0</v>
      </c>
      <c r="U37" s="781">
        <f>'FIBERGLASS MACROS'!S70</f>
        <v>0</v>
      </c>
    </row>
    <row r="38" ht="15.75" customHeight="1">
      <c r="B38" s="809"/>
      <c r="C38" s="5"/>
      <c r="D38" s="126"/>
      <c r="E38" s="126"/>
      <c r="F38" s="126"/>
      <c r="G38" s="127"/>
      <c r="H38" s="126"/>
      <c r="I38" s="126"/>
      <c r="J38" s="126"/>
      <c r="K38" s="126"/>
      <c r="L38" s="126"/>
      <c r="M38" s="126"/>
      <c r="N38" s="126"/>
      <c r="O38" s="126"/>
      <c r="P38" s="126"/>
      <c r="Q38" s="127"/>
      <c r="R38" s="815"/>
      <c r="S38" s="2"/>
      <c r="T38" s="2"/>
      <c r="U38" s="458"/>
    </row>
    <row r="39" ht="15.75" customHeight="1">
      <c r="B39" s="816" t="s">
        <v>822</v>
      </c>
      <c r="D39" s="192">
        <f>'THERMO PLASTIC MACROS DUAL '!H51</f>
        <v>0</v>
      </c>
      <c r="E39" s="769">
        <f>'THERMO PLASTIC MACROS DUAL '!I51</f>
        <v>0</v>
      </c>
      <c r="F39" s="770">
        <f>'THERMO PLASTIC MACROS DUAL '!J51</f>
        <v>0</v>
      </c>
      <c r="G39" s="771">
        <f>'THERMO PLASTIC MACROS DUAL '!K51</f>
        <v>0</v>
      </c>
      <c r="H39" s="813">
        <f>'THERMO PLASTIC MACROS DUAL '!N51</f>
        <v>0</v>
      </c>
      <c r="I39" s="197">
        <f>'THERMO PLASTIC MACROS DUAL '!O51</f>
        <v>0</v>
      </c>
      <c r="J39" s="198">
        <f>'THERMO PLASTIC MACROS DUAL '!P51</f>
        <v>0</v>
      </c>
      <c r="K39" s="775">
        <f>'THERMO PLASTIC MACROS DUAL '!Q51</f>
        <v>0</v>
      </c>
      <c r="L39" s="817" t="s">
        <v>823</v>
      </c>
      <c r="M39" s="122" t="s">
        <v>821</v>
      </c>
      <c r="N39" s="122" t="s">
        <v>821</v>
      </c>
      <c r="O39" s="203">
        <f>'FIBERGLASS MACROS'!O70</f>
        <v>0</v>
      </c>
      <c r="P39" s="780" t="str">
        <f>'THERMO PLASTIC MACROS DUAL '!L51</f>
        <v/>
      </c>
      <c r="Q39" s="204">
        <f>'THERMO PLASTIC MACROS DUAL '!R51</f>
        <v>0</v>
      </c>
      <c r="R39" s="815"/>
      <c r="S39" s="122">
        <f>'THERMO PLASTIC MACROS DUAL '!T51</f>
        <v>0</v>
      </c>
      <c r="T39" s="122">
        <f>'THERMO PLASTIC MACROS DUAL '!U51</f>
        <v>0</v>
      </c>
      <c r="U39" s="781">
        <f>'THERMO PLASTIC MACROS DUAL '!V51</f>
        <v>0</v>
      </c>
    </row>
    <row r="40" ht="15.75" customHeight="1">
      <c r="C40" s="818"/>
      <c r="D40" s="815"/>
      <c r="E40" s="815"/>
      <c r="F40" s="815"/>
      <c r="G40" s="819"/>
      <c r="H40" s="815"/>
      <c r="I40" s="815"/>
      <c r="J40" s="815"/>
      <c r="K40" s="815"/>
      <c r="L40" s="815"/>
      <c r="M40" s="815"/>
      <c r="N40" s="815"/>
      <c r="O40" s="815"/>
      <c r="P40" s="815"/>
      <c r="Q40" s="819"/>
      <c r="R40" s="815"/>
      <c r="S40" s="2"/>
      <c r="T40" s="2"/>
      <c r="U40" s="458"/>
    </row>
    <row r="41" ht="15.75" customHeight="1">
      <c r="B41" s="816" t="s">
        <v>824</v>
      </c>
      <c r="D41" s="192">
        <f>'THERMO PLASTIC MACROS'!H51</f>
        <v>0</v>
      </c>
      <c r="E41" s="769">
        <f>'THERMO PLASTIC MACROS'!I51</f>
        <v>0</v>
      </c>
      <c r="F41" s="770">
        <f>'THERMO PLASTIC MACROS'!J51</f>
        <v>0</v>
      </c>
      <c r="G41" s="771">
        <f>'THERMO PLASTIC MACROS'!K51</f>
        <v>0</v>
      </c>
      <c r="H41" s="813">
        <f>'THERMO PLASTIC MACROS'!N51</f>
        <v>0</v>
      </c>
      <c r="I41" s="197">
        <f>'THERMO PLASTIC MACROS'!O51</f>
        <v>0</v>
      </c>
      <c r="J41" s="198">
        <f>'THERMO PLASTIC MACROS'!P51</f>
        <v>0</v>
      </c>
      <c r="K41" s="199">
        <f>'THERMO PLASTIC MACROS'!Q51</f>
        <v>0</v>
      </c>
      <c r="L41" s="820" t="s">
        <v>823</v>
      </c>
      <c r="M41" s="122" t="s">
        <v>821</v>
      </c>
      <c r="N41" s="122" t="s">
        <v>821</v>
      </c>
      <c r="O41" s="203">
        <f>'THERMO PLASTIC MACROS'!S51</f>
        <v>0</v>
      </c>
      <c r="P41" s="122" t="str">
        <f>'THERMO PLASTIC MACROS'!L51</f>
        <v/>
      </c>
      <c r="Q41" s="204">
        <f>'THERMO PLASTIC MACROS'!R51</f>
        <v>0</v>
      </c>
      <c r="R41" s="815"/>
      <c r="S41" s="122">
        <f>'THERMO PLASTIC MACROS'!T51</f>
        <v>0</v>
      </c>
      <c r="T41" s="122">
        <f>'THERMO PLASTIC MACROS'!U51</f>
        <v>0</v>
      </c>
      <c r="U41" s="821">
        <f>'THERMO PLASTIC MACROS'!V51</f>
        <v>0</v>
      </c>
    </row>
    <row r="42" ht="15.75" customHeight="1">
      <c r="C42" s="818"/>
      <c r="D42" s="815"/>
      <c r="E42" s="815"/>
      <c r="F42" s="815"/>
      <c r="G42" s="819"/>
      <c r="H42" s="815"/>
      <c r="I42" s="815"/>
      <c r="J42" s="815"/>
      <c r="K42" s="815"/>
      <c r="L42" s="815"/>
      <c r="M42" s="815"/>
      <c r="N42" s="815"/>
      <c r="O42" s="815"/>
      <c r="P42" s="815"/>
      <c r="Q42" s="819"/>
      <c r="R42" s="815"/>
      <c r="S42" s="2"/>
      <c r="T42" s="2"/>
      <c r="U42" s="458"/>
    </row>
    <row r="43" ht="15.75" customHeight="1">
      <c r="B43" s="822" t="s">
        <v>825</v>
      </c>
      <c r="C43" s="762"/>
      <c r="D43" s="192">
        <f t="shared" ref="D43:Q43" si="2">SUM(D7:D27)</f>
        <v>0</v>
      </c>
      <c r="E43" s="193">
        <f t="shared" si="2"/>
        <v>0</v>
      </c>
      <c r="F43" s="823">
        <f t="shared" si="2"/>
        <v>0</v>
      </c>
      <c r="G43" s="195">
        <f t="shared" si="2"/>
        <v>0</v>
      </c>
      <c r="H43" s="813">
        <f t="shared" si="2"/>
        <v>0</v>
      </c>
      <c r="I43" s="197">
        <f t="shared" si="2"/>
        <v>0</v>
      </c>
      <c r="J43" s="198">
        <f t="shared" si="2"/>
        <v>0</v>
      </c>
      <c r="K43" s="199">
        <f t="shared" si="2"/>
        <v>0</v>
      </c>
      <c r="L43" s="200">
        <f t="shared" si="2"/>
        <v>0</v>
      </c>
      <c r="M43" s="122">
        <f t="shared" si="2"/>
        <v>0</v>
      </c>
      <c r="N43" s="122">
        <f t="shared" si="2"/>
        <v>0</v>
      </c>
      <c r="O43" s="203">
        <f t="shared" si="2"/>
        <v>0</v>
      </c>
      <c r="P43" s="122">
        <f t="shared" si="2"/>
        <v>0</v>
      </c>
      <c r="Q43" s="204">
        <f t="shared" si="2"/>
        <v>0</v>
      </c>
      <c r="R43" s="2"/>
      <c r="S43" s="2"/>
      <c r="T43" s="2"/>
      <c r="U43" s="458"/>
    </row>
    <row r="44" ht="15.75" customHeight="1">
      <c r="G44" s="461"/>
      <c r="U44" s="1"/>
    </row>
    <row r="45" ht="15.75" customHeight="1">
      <c r="B45" s="824" t="s">
        <v>826</v>
      </c>
      <c r="D45" s="825" t="s">
        <v>827</v>
      </c>
      <c r="E45" s="602"/>
      <c r="F45" s="762"/>
      <c r="G45" s="826"/>
      <c r="H45" s="602"/>
      <c r="I45" s="602"/>
      <c r="J45" s="602"/>
      <c r="K45" s="602"/>
      <c r="L45" s="602"/>
      <c r="M45" s="602"/>
      <c r="N45" s="762"/>
      <c r="P45" s="827" t="s">
        <v>828</v>
      </c>
      <c r="Q45" s="828"/>
      <c r="R45" s="829">
        <f>SUM(R7:R43)</f>
        <v>0</v>
      </c>
      <c r="U45" s="1"/>
    </row>
    <row r="46" ht="15.75" customHeight="1">
      <c r="D46" s="825" t="s">
        <v>829</v>
      </c>
      <c r="E46" s="602"/>
      <c r="F46" s="762"/>
      <c r="G46" s="826"/>
      <c r="H46" s="602"/>
      <c r="I46" s="602"/>
      <c r="J46" s="602"/>
      <c r="K46" s="602"/>
      <c r="L46" s="602"/>
      <c r="M46" s="602"/>
      <c r="N46" s="762"/>
      <c r="P46" s="830" t="s">
        <v>830</v>
      </c>
      <c r="Q46" s="43"/>
      <c r="R46" s="829"/>
      <c r="S46" s="829">
        <f>SUM(S7:S45)</f>
        <v>0</v>
      </c>
      <c r="U46" s="1"/>
    </row>
    <row r="47" ht="15.75" customHeight="1">
      <c r="D47" s="226"/>
      <c r="E47" s="226"/>
      <c r="F47" s="226"/>
      <c r="G47" s="826"/>
      <c r="H47" s="602"/>
      <c r="I47" s="602"/>
      <c r="J47" s="602"/>
      <c r="K47" s="602"/>
      <c r="L47" s="602"/>
      <c r="M47" s="602"/>
      <c r="N47" s="762"/>
      <c r="P47" s="831" t="s">
        <v>831</v>
      </c>
      <c r="Q47" s="832"/>
      <c r="R47" s="829"/>
      <c r="S47" s="829"/>
      <c r="T47" s="829">
        <f>SUM(T7:T45)</f>
        <v>0</v>
      </c>
      <c r="U47" s="1"/>
    </row>
    <row r="48" ht="15.75" customHeight="1">
      <c r="D48" s="226"/>
      <c r="E48" s="226"/>
      <c r="F48" s="226"/>
      <c r="G48" s="826"/>
      <c r="H48" s="602"/>
      <c r="I48" s="602"/>
      <c r="J48" s="602"/>
      <c r="K48" s="602"/>
      <c r="L48" s="602"/>
      <c r="M48" s="602"/>
      <c r="N48" s="762"/>
      <c r="P48" s="833" t="s">
        <v>832</v>
      </c>
      <c r="Q48" s="834"/>
      <c r="R48" s="632"/>
      <c r="S48" s="632"/>
      <c r="T48" s="835">
        <f>SUM(U7:U41)</f>
        <v>0</v>
      </c>
      <c r="U48" s="836"/>
    </row>
    <row r="49" ht="15.75" customHeight="1">
      <c r="D49" s="226"/>
      <c r="E49" s="226"/>
      <c r="F49" s="226"/>
      <c r="G49" s="826"/>
      <c r="H49" s="602"/>
      <c r="I49" s="602"/>
      <c r="J49" s="602"/>
      <c r="K49" s="602"/>
      <c r="L49" s="602"/>
      <c r="M49" s="602"/>
      <c r="N49" s="762"/>
      <c r="P49" s="837" t="s">
        <v>833</v>
      </c>
      <c r="Q49" s="539"/>
      <c r="R49" s="838"/>
      <c r="S49" s="536"/>
      <c r="T49" s="839">
        <f>T48*R49</f>
        <v>0</v>
      </c>
      <c r="U49" s="840"/>
    </row>
    <row r="50" ht="15.75" customHeight="1">
      <c r="D50" s="825" t="s">
        <v>834</v>
      </c>
      <c r="E50" s="602"/>
      <c r="F50" s="762"/>
      <c r="G50" s="826"/>
      <c r="H50" s="602"/>
      <c r="I50" s="602"/>
      <c r="J50" s="602"/>
      <c r="K50" s="602"/>
      <c r="L50" s="602"/>
      <c r="M50" s="602"/>
      <c r="N50" s="762"/>
      <c r="P50" s="841" t="s">
        <v>835</v>
      </c>
      <c r="R50" s="842"/>
      <c r="S50" s="843"/>
      <c r="T50" s="844">
        <f>(T48+T49)*R50</f>
        <v>0</v>
      </c>
      <c r="U50" s="845"/>
    </row>
    <row r="51" ht="15.75" customHeight="1">
      <c r="D51" s="825" t="s">
        <v>836</v>
      </c>
      <c r="E51" s="602"/>
      <c r="F51" s="762"/>
      <c r="G51" s="846"/>
      <c r="N51" s="845"/>
      <c r="P51" s="837" t="s">
        <v>837</v>
      </c>
      <c r="Q51" s="539"/>
      <c r="R51" s="539"/>
      <c r="S51" s="718"/>
      <c r="T51" s="839">
        <f>T48-T49</f>
        <v>0</v>
      </c>
      <c r="U51" s="840"/>
    </row>
    <row r="52" ht="15.75" customHeight="1">
      <c r="D52" s="825" t="s">
        <v>838</v>
      </c>
      <c r="E52" s="602"/>
      <c r="F52" s="762"/>
      <c r="G52" s="826"/>
      <c r="H52" s="602"/>
      <c r="I52" s="602"/>
      <c r="J52" s="602"/>
      <c r="K52" s="602"/>
      <c r="L52" s="602"/>
      <c r="M52" s="602"/>
      <c r="N52" s="762"/>
      <c r="U52" s="1"/>
    </row>
    <row r="53" ht="15.75" customHeight="1">
      <c r="D53" s="825" t="s">
        <v>839</v>
      </c>
      <c r="E53" s="602"/>
      <c r="F53" s="762"/>
      <c r="G53" s="847"/>
      <c r="H53" s="848"/>
      <c r="I53" s="848"/>
      <c r="J53" s="848"/>
      <c r="K53" s="848"/>
      <c r="L53" s="848"/>
      <c r="M53" s="848"/>
      <c r="N53" s="849"/>
      <c r="U53" s="1"/>
    </row>
    <row r="54" ht="15.75" customHeight="1">
      <c r="D54" s="826" t="s">
        <v>840</v>
      </c>
      <c r="E54" s="602"/>
      <c r="F54" s="762"/>
      <c r="G54" s="826"/>
      <c r="H54" s="602"/>
      <c r="I54" s="602"/>
      <c r="J54" s="602"/>
      <c r="K54" s="602"/>
      <c r="L54" s="602"/>
      <c r="M54" s="602"/>
      <c r="N54" s="762"/>
      <c r="U54" s="1"/>
    </row>
    <row r="55" ht="15.75" customHeight="1">
      <c r="U55" s="1"/>
    </row>
    <row r="56" ht="15.75" customHeight="1">
      <c r="U56" s="1"/>
    </row>
    <row r="57" ht="15.75" customHeight="1">
      <c r="U57" s="1"/>
    </row>
    <row r="58" ht="15.75" customHeight="1">
      <c r="U58" s="1"/>
    </row>
    <row r="59" ht="15.75" customHeight="1">
      <c r="U59" s="1"/>
    </row>
    <row r="60" ht="15.75" customHeight="1">
      <c r="U60" s="1"/>
    </row>
    <row r="61" ht="15.75" customHeight="1">
      <c r="U61" s="1"/>
    </row>
    <row r="62" ht="15.75" customHeight="1">
      <c r="U62" s="1"/>
    </row>
    <row r="63" ht="15.75" customHeight="1">
      <c r="U63" s="1"/>
    </row>
    <row r="64" ht="15.75" customHeight="1">
      <c r="U64" s="1"/>
    </row>
    <row r="65" ht="15.75" customHeight="1">
      <c r="U65" s="1"/>
    </row>
    <row r="66" ht="15.75" customHeight="1">
      <c r="U66" s="1"/>
    </row>
    <row r="67" ht="15.75" customHeight="1">
      <c r="U67" s="1"/>
    </row>
    <row r="68" ht="15.75" customHeight="1">
      <c r="U68" s="1"/>
    </row>
    <row r="69" ht="15.75" customHeight="1">
      <c r="U69" s="1"/>
    </row>
    <row r="70" ht="15.75" customHeight="1">
      <c r="U70" s="1"/>
    </row>
    <row r="71" ht="15.75" customHeight="1">
      <c r="U71" s="1"/>
    </row>
    <row r="72" ht="15.75" customHeight="1">
      <c r="U72" s="1"/>
    </row>
    <row r="73" ht="15.75" customHeight="1">
      <c r="U73" s="1"/>
    </row>
    <row r="74" ht="15.75" customHeight="1">
      <c r="U74" s="1"/>
    </row>
    <row r="75" ht="15.75" customHeight="1">
      <c r="U75" s="1"/>
    </row>
    <row r="76" ht="15.75" customHeight="1">
      <c r="U76" s="1"/>
    </row>
    <row r="77" ht="15.75" customHeight="1">
      <c r="U77" s="1"/>
    </row>
    <row r="78" ht="15.75" customHeight="1">
      <c r="U78" s="1"/>
    </row>
    <row r="79" ht="15.75" customHeight="1">
      <c r="U79" s="1"/>
    </row>
    <row r="80" ht="15.75" customHeight="1">
      <c r="U80" s="1"/>
    </row>
    <row r="81" ht="15.75" customHeight="1">
      <c r="U81" s="1"/>
    </row>
    <row r="82" ht="15.75" customHeight="1">
      <c r="U82" s="1"/>
    </row>
    <row r="83" ht="15.75" customHeight="1">
      <c r="U83" s="1"/>
    </row>
    <row r="84" ht="15.75" customHeight="1">
      <c r="U84" s="1"/>
    </row>
    <row r="85" ht="15.75" customHeight="1">
      <c r="U85" s="1"/>
    </row>
    <row r="86" ht="15.75" customHeight="1">
      <c r="U86" s="1"/>
    </row>
    <row r="87" ht="15.75" customHeight="1">
      <c r="U87" s="1"/>
    </row>
    <row r="88" ht="15.75" customHeight="1">
      <c r="U88" s="1"/>
    </row>
    <row r="89" ht="15.75" customHeight="1">
      <c r="U89" s="1"/>
    </row>
    <row r="90" ht="15.75" customHeight="1">
      <c r="U90" s="1"/>
    </row>
    <row r="91" ht="15.75" customHeight="1">
      <c r="U91" s="1"/>
    </row>
    <row r="92" ht="15.75" customHeight="1">
      <c r="U92" s="1"/>
    </row>
    <row r="93" ht="15.75" customHeight="1">
      <c r="U93" s="1"/>
    </row>
    <row r="94" ht="15.75" customHeight="1">
      <c r="U94" s="1"/>
    </row>
    <row r="95" ht="15.75" customHeight="1">
      <c r="U95" s="1"/>
    </row>
    <row r="96" ht="15.75" customHeight="1">
      <c r="U96" s="1"/>
    </row>
    <row r="97" ht="15.75" customHeight="1">
      <c r="U97" s="1"/>
    </row>
    <row r="98" ht="15.75" customHeight="1">
      <c r="U98" s="1"/>
    </row>
    <row r="99" ht="15.75" customHeight="1">
      <c r="U99" s="1"/>
    </row>
    <row r="100" ht="15.75" customHeight="1">
      <c r="U100" s="1"/>
    </row>
    <row r="101" ht="15.75" customHeight="1">
      <c r="U101" s="1"/>
    </row>
    <row r="102" ht="15.75" customHeight="1">
      <c r="U102" s="1"/>
    </row>
    <row r="103" ht="15.75" customHeight="1">
      <c r="U103" s="1"/>
    </row>
    <row r="104" ht="15.75" customHeight="1">
      <c r="U104" s="1"/>
    </row>
    <row r="105" ht="15.75" customHeight="1">
      <c r="U105" s="1"/>
    </row>
    <row r="106" ht="15.75" customHeight="1">
      <c r="U106" s="1"/>
    </row>
    <row r="107" ht="15.75" customHeight="1">
      <c r="U107" s="1"/>
    </row>
    <row r="108" ht="15.75" customHeight="1">
      <c r="U108" s="1"/>
    </row>
    <row r="109" ht="15.75" customHeight="1">
      <c r="U109" s="1"/>
    </row>
    <row r="110" ht="15.75" customHeight="1">
      <c r="U110" s="1"/>
    </row>
    <row r="111" ht="15.75" customHeight="1">
      <c r="U111" s="1"/>
    </row>
    <row r="112" ht="15.75" customHeight="1">
      <c r="U112" s="1"/>
    </row>
    <row r="113" ht="15.75" customHeight="1">
      <c r="U113" s="1"/>
    </row>
    <row r="114" ht="15.75" customHeight="1">
      <c r="U114" s="1"/>
    </row>
    <row r="115" ht="15.75" customHeight="1">
      <c r="U115" s="1"/>
    </row>
    <row r="116" ht="15.75" customHeight="1">
      <c r="U116" s="1"/>
    </row>
    <row r="117" ht="15.75" customHeight="1">
      <c r="U117" s="1"/>
    </row>
    <row r="118" ht="15.75" customHeight="1">
      <c r="U118" s="1"/>
    </row>
    <row r="119" ht="15.75" customHeight="1">
      <c r="U119" s="1"/>
    </row>
    <row r="120" ht="15.75" customHeight="1">
      <c r="U120" s="1"/>
    </row>
    <row r="121" ht="15.75" customHeight="1">
      <c r="U121" s="1"/>
    </row>
    <row r="122" ht="15.75" customHeight="1">
      <c r="U122" s="1"/>
    </row>
    <row r="123" ht="15.75" customHeight="1">
      <c r="U123" s="1"/>
    </row>
    <row r="124" ht="15.75" customHeight="1">
      <c r="U124" s="1"/>
    </row>
    <row r="125" ht="15.75" customHeight="1">
      <c r="U125" s="1"/>
    </row>
    <row r="126" ht="15.75" customHeight="1">
      <c r="U126" s="1"/>
    </row>
    <row r="127" ht="15.75" customHeight="1">
      <c r="U127" s="1"/>
    </row>
    <row r="128" ht="15.75" customHeight="1">
      <c r="U128" s="1"/>
    </row>
    <row r="129" ht="15.75" customHeight="1">
      <c r="U129" s="1"/>
    </row>
    <row r="130" ht="15.75" customHeight="1">
      <c r="U130" s="1"/>
    </row>
    <row r="131" ht="15.75" customHeight="1">
      <c r="U131" s="1"/>
    </row>
    <row r="132" ht="15.75" customHeight="1">
      <c r="U132" s="1"/>
    </row>
    <row r="133" ht="15.75" customHeight="1">
      <c r="U133" s="1"/>
    </row>
    <row r="134" ht="15.75" customHeight="1">
      <c r="U134" s="1"/>
    </row>
    <row r="135" ht="15.75" customHeight="1">
      <c r="U135" s="1"/>
    </row>
    <row r="136" ht="15.75" customHeight="1">
      <c r="U136" s="1"/>
    </row>
    <row r="137" ht="15.75" customHeight="1">
      <c r="U137" s="1"/>
    </row>
    <row r="138" ht="15.75" customHeight="1">
      <c r="U138" s="1"/>
    </row>
    <row r="139" ht="15.75" customHeight="1">
      <c r="U139" s="1"/>
    </row>
    <row r="140" ht="15.75" customHeight="1">
      <c r="U140" s="1"/>
    </row>
    <row r="141" ht="15.75" customHeight="1">
      <c r="U141" s="1"/>
    </row>
    <row r="142" ht="15.75" customHeight="1">
      <c r="U142" s="1"/>
    </row>
    <row r="143" ht="15.75" customHeight="1">
      <c r="U143" s="1"/>
    </row>
    <row r="144" ht="15.75" customHeight="1">
      <c r="U144" s="1"/>
    </row>
    <row r="145" ht="15.75" customHeight="1">
      <c r="U145" s="1"/>
    </row>
    <row r="146" ht="15.75" customHeight="1">
      <c r="U146" s="1"/>
    </row>
    <row r="147" ht="15.75" customHeight="1">
      <c r="U147" s="1"/>
    </row>
    <row r="148" ht="15.75" customHeight="1">
      <c r="U148" s="1"/>
    </row>
    <row r="149" ht="15.75" customHeight="1">
      <c r="U149" s="1"/>
    </row>
    <row r="150" ht="15.75" customHeight="1">
      <c r="U150" s="1"/>
    </row>
    <row r="151" ht="15.75" customHeight="1">
      <c r="U151" s="1"/>
    </row>
    <row r="152" ht="15.75" customHeight="1">
      <c r="U152" s="1"/>
    </row>
    <row r="153" ht="15.75" customHeight="1">
      <c r="U153" s="1"/>
    </row>
    <row r="154" ht="15.75" customHeight="1">
      <c r="U154" s="1"/>
    </row>
    <row r="155" ht="15.75" customHeight="1">
      <c r="U155" s="1"/>
    </row>
    <row r="156" ht="15.75" customHeight="1">
      <c r="U156" s="1"/>
    </row>
    <row r="157" ht="15.75" customHeight="1">
      <c r="U157" s="1"/>
    </row>
    <row r="158" ht="15.75" customHeight="1">
      <c r="U158" s="1"/>
    </row>
    <row r="159" ht="15.75" customHeight="1">
      <c r="U159" s="1"/>
    </row>
    <row r="160" ht="15.75" customHeight="1">
      <c r="U160" s="1"/>
    </row>
    <row r="161" ht="15.75" customHeight="1">
      <c r="U161" s="1"/>
    </row>
    <row r="162" ht="15.75" customHeight="1">
      <c r="U162" s="1"/>
    </row>
    <row r="163" ht="15.75" customHeight="1">
      <c r="U163" s="1"/>
    </row>
    <row r="164" ht="15.75" customHeight="1">
      <c r="U164" s="1"/>
    </row>
    <row r="165" ht="15.75" customHeight="1">
      <c r="U165" s="1"/>
    </row>
    <row r="166" ht="15.75" customHeight="1">
      <c r="U166" s="1"/>
    </row>
    <row r="167" ht="15.75" customHeight="1">
      <c r="U167" s="1"/>
    </row>
    <row r="168" ht="15.75" customHeight="1">
      <c r="U168" s="1"/>
    </row>
    <row r="169" ht="15.75" customHeight="1">
      <c r="U169" s="1"/>
    </row>
    <row r="170" ht="15.75" customHeight="1">
      <c r="U170" s="1"/>
    </row>
    <row r="171" ht="15.75" customHeight="1">
      <c r="U171" s="1"/>
    </row>
    <row r="172" ht="15.75" customHeight="1">
      <c r="U172" s="1"/>
    </row>
    <row r="173" ht="15.75" customHeight="1">
      <c r="U173" s="1"/>
    </row>
    <row r="174" ht="15.75" customHeight="1">
      <c r="U174" s="1"/>
    </row>
    <row r="175" ht="15.75" customHeight="1">
      <c r="U175" s="1"/>
    </row>
    <row r="176" ht="15.75" customHeight="1">
      <c r="U176" s="1"/>
    </row>
    <row r="177" ht="15.75" customHeight="1">
      <c r="U177" s="1"/>
    </row>
    <row r="178" ht="15.75" customHeight="1">
      <c r="U178" s="1"/>
    </row>
    <row r="179" ht="15.75" customHeight="1">
      <c r="U179" s="1"/>
    </row>
    <row r="180" ht="15.75" customHeight="1">
      <c r="U180" s="1"/>
    </row>
    <row r="181" ht="15.75" customHeight="1">
      <c r="U181" s="1"/>
    </row>
    <row r="182" ht="15.75" customHeight="1">
      <c r="U182" s="1"/>
    </row>
    <row r="183" ht="15.75" customHeight="1">
      <c r="U183" s="1"/>
    </row>
    <row r="184" ht="15.75" customHeight="1">
      <c r="U184" s="1"/>
    </row>
    <row r="185" ht="15.75" customHeight="1">
      <c r="U185" s="1"/>
    </row>
    <row r="186" ht="15.75" customHeight="1">
      <c r="U186" s="1"/>
    </row>
    <row r="187" ht="15.75" customHeight="1">
      <c r="U187" s="1"/>
    </row>
    <row r="188" ht="15.75" customHeight="1">
      <c r="U188" s="1"/>
    </row>
    <row r="189" ht="15.75" customHeight="1">
      <c r="U189" s="1"/>
    </row>
    <row r="190" ht="15.75" customHeight="1">
      <c r="U190" s="1"/>
    </row>
    <row r="191" ht="15.75" customHeight="1">
      <c r="U191" s="1"/>
    </row>
    <row r="192" ht="15.75" customHeight="1">
      <c r="U192" s="1"/>
    </row>
    <row r="193" ht="15.75" customHeight="1">
      <c r="U193" s="1"/>
    </row>
    <row r="194" ht="15.75" customHeight="1">
      <c r="U194" s="1"/>
    </row>
    <row r="195" ht="15.75" customHeight="1">
      <c r="U195" s="1"/>
    </row>
    <row r="196" ht="15.75" customHeight="1">
      <c r="U196" s="1"/>
    </row>
    <row r="197" ht="15.75" customHeight="1">
      <c r="U197" s="1"/>
    </row>
    <row r="198" ht="15.75" customHeight="1">
      <c r="U198" s="1"/>
    </row>
    <row r="199" ht="15.75" customHeight="1">
      <c r="U199" s="1"/>
    </row>
    <row r="200" ht="15.75" customHeight="1">
      <c r="U200" s="1"/>
    </row>
    <row r="201" ht="15.75" customHeight="1">
      <c r="U201" s="1"/>
    </row>
    <row r="202" ht="15.75" customHeight="1">
      <c r="U202" s="1"/>
    </row>
    <row r="203" ht="15.75" customHeight="1">
      <c r="U203" s="1"/>
    </row>
    <row r="204" ht="15.75" customHeight="1">
      <c r="U204" s="1"/>
    </row>
    <row r="205" ht="15.75" customHeight="1">
      <c r="U205" s="1"/>
    </row>
    <row r="206" ht="15.75" customHeight="1">
      <c r="U206" s="1"/>
    </row>
    <row r="207" ht="15.75" customHeight="1">
      <c r="U207" s="1"/>
    </row>
    <row r="208" ht="15.75" customHeight="1">
      <c r="U208" s="1"/>
    </row>
    <row r="209" ht="15.75" customHeight="1">
      <c r="U209" s="1"/>
    </row>
    <row r="210" ht="15.75" customHeight="1">
      <c r="U210" s="1"/>
    </row>
    <row r="211" ht="15.75" customHeight="1">
      <c r="U211" s="1"/>
    </row>
    <row r="212" ht="15.75" customHeight="1">
      <c r="U212" s="1"/>
    </row>
    <row r="213" ht="15.75" customHeight="1">
      <c r="U213" s="1"/>
    </row>
    <row r="214" ht="15.75" customHeight="1">
      <c r="U214" s="1"/>
    </row>
    <row r="215" ht="15.75" customHeight="1">
      <c r="U215" s="1"/>
    </row>
    <row r="216" ht="15.75" customHeight="1">
      <c r="U216" s="1"/>
    </row>
    <row r="217" ht="15.75" customHeight="1">
      <c r="U217" s="1"/>
    </row>
    <row r="218" ht="15.75" customHeight="1">
      <c r="U218" s="1"/>
    </row>
    <row r="219" ht="15.75" customHeight="1">
      <c r="U219" s="1"/>
    </row>
    <row r="220" ht="15.75" customHeight="1">
      <c r="U220" s="1"/>
    </row>
    <row r="221" ht="15.75" customHeight="1">
      <c r="U221" s="1"/>
    </row>
    <row r="222" ht="15.75" customHeight="1">
      <c r="U222" s="1"/>
    </row>
    <row r="223" ht="15.75" customHeight="1">
      <c r="U223" s="1"/>
    </row>
    <row r="224" ht="15.75" customHeight="1">
      <c r="U224" s="1"/>
    </row>
    <row r="225" ht="15.75" customHeight="1">
      <c r="U225" s="1"/>
    </row>
    <row r="226" ht="15.75" customHeight="1">
      <c r="U226" s="1"/>
    </row>
    <row r="227" ht="15.75" customHeight="1">
      <c r="U227" s="1"/>
    </row>
    <row r="228" ht="15.75" customHeight="1">
      <c r="U228" s="1"/>
    </row>
    <row r="229" ht="15.75" customHeight="1">
      <c r="U229" s="1"/>
    </row>
    <row r="230" ht="15.75" customHeight="1">
      <c r="U230" s="1"/>
    </row>
    <row r="231" ht="15.75" customHeight="1">
      <c r="U231" s="1"/>
    </row>
    <row r="232" ht="15.75" customHeight="1">
      <c r="U232" s="1"/>
    </row>
    <row r="233" ht="15.75" customHeight="1">
      <c r="U233" s="1"/>
    </row>
    <row r="234" ht="15.75" customHeight="1">
      <c r="U234" s="1"/>
    </row>
    <row r="235" ht="15.75" customHeight="1">
      <c r="U235" s="1"/>
    </row>
    <row r="236" ht="15.75" customHeight="1">
      <c r="U236" s="1"/>
    </row>
    <row r="237" ht="15.75" customHeight="1">
      <c r="U237" s="1"/>
    </row>
    <row r="238" ht="15.75" customHeight="1">
      <c r="U238" s="1"/>
    </row>
    <row r="239" ht="15.75" customHeight="1">
      <c r="U239" s="1"/>
    </row>
    <row r="240" ht="15.75" customHeight="1">
      <c r="U240" s="1"/>
    </row>
    <row r="241" ht="15.75" customHeight="1">
      <c r="U241" s="1"/>
    </row>
    <row r="242" ht="15.75" customHeight="1">
      <c r="U242" s="1"/>
    </row>
    <row r="243" ht="15.75" customHeight="1">
      <c r="U243" s="1"/>
    </row>
    <row r="244" ht="15.75" customHeight="1">
      <c r="U244" s="1"/>
    </row>
    <row r="245" ht="15.75" customHeight="1">
      <c r="U245" s="1"/>
    </row>
    <row r="246" ht="15.75" customHeight="1">
      <c r="U246" s="1"/>
    </row>
    <row r="247" ht="15.75" customHeight="1">
      <c r="U247" s="1"/>
    </row>
    <row r="248" ht="15.75" customHeight="1">
      <c r="U248" s="1"/>
    </row>
    <row r="249" ht="15.75" customHeight="1">
      <c r="U249" s="1"/>
    </row>
    <row r="250" ht="15.75" customHeight="1">
      <c r="U250" s="1"/>
    </row>
    <row r="251" ht="15.75" customHeight="1">
      <c r="U251" s="1"/>
    </row>
    <row r="252" ht="15.75" customHeight="1">
      <c r="U252" s="1"/>
    </row>
    <row r="253" ht="15.75" customHeight="1">
      <c r="U253" s="1"/>
    </row>
    <row r="254" ht="15.75" customHeight="1">
      <c r="U254" s="1"/>
    </row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35">
    <mergeCell ref="G45:N45"/>
    <mergeCell ref="P45:Q45"/>
    <mergeCell ref="B3:W3"/>
    <mergeCell ref="B4:W4"/>
    <mergeCell ref="B5:W5"/>
    <mergeCell ref="W6:W7"/>
    <mergeCell ref="B43:C43"/>
    <mergeCell ref="B45:B46"/>
    <mergeCell ref="D45:F45"/>
    <mergeCell ref="P46:Q46"/>
    <mergeCell ref="P49:Q49"/>
    <mergeCell ref="R49:S49"/>
    <mergeCell ref="D46:F46"/>
    <mergeCell ref="D50:F50"/>
    <mergeCell ref="D51:F51"/>
    <mergeCell ref="D52:F52"/>
    <mergeCell ref="D53:F53"/>
    <mergeCell ref="D54:F54"/>
    <mergeCell ref="G46:N46"/>
    <mergeCell ref="G47:N47"/>
    <mergeCell ref="P47:Q47"/>
    <mergeCell ref="G48:N48"/>
    <mergeCell ref="T48:U48"/>
    <mergeCell ref="G49:N49"/>
    <mergeCell ref="T49:U49"/>
    <mergeCell ref="G52:N52"/>
    <mergeCell ref="G53:N53"/>
    <mergeCell ref="G54:N54"/>
    <mergeCell ref="G50:N50"/>
    <mergeCell ref="P50:Q50"/>
    <mergeCell ref="R50:S50"/>
    <mergeCell ref="T50:U50"/>
    <mergeCell ref="G51:N51"/>
    <mergeCell ref="P51:R51"/>
    <mergeCell ref="T51:U51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5.14"/>
    <col customWidth="1" min="3" max="3" width="16.71"/>
    <col customWidth="1" min="4" max="4" width="8.29"/>
    <col customWidth="1" min="5" max="5" width="7.71"/>
    <col customWidth="1" min="6" max="6" width="8.43"/>
    <col customWidth="1" min="7" max="20" width="9.14"/>
    <col customWidth="1" min="21" max="21" width="4.43"/>
    <col customWidth="1" min="22" max="22" width="6.0"/>
    <col customWidth="1" min="23" max="23" width="7.0"/>
    <col customWidth="1" min="24" max="24" width="11.86"/>
    <col customWidth="1" min="25" max="26" width="9.14"/>
  </cols>
  <sheetData>
    <row r="1"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82"/>
      <c r="V1" s="82"/>
      <c r="W1" s="82"/>
      <c r="X1" s="82"/>
      <c r="Y1" s="82"/>
      <c r="Z1" s="82"/>
    </row>
    <row r="2">
      <c r="B2" s="3" t="s">
        <v>26</v>
      </c>
      <c r="C2" s="4"/>
      <c r="D2" s="4"/>
      <c r="E2" s="5"/>
      <c r="F2" s="6"/>
      <c r="G2" s="83" t="s">
        <v>27</v>
      </c>
      <c r="H2" s="8" t="s">
        <v>2</v>
      </c>
      <c r="I2" s="9" t="s">
        <v>3</v>
      </c>
      <c r="J2" s="10" t="s">
        <v>4</v>
      </c>
      <c r="K2" s="11" t="s">
        <v>5</v>
      </c>
      <c r="L2" s="12" t="s">
        <v>6</v>
      </c>
      <c r="M2" s="13" t="s">
        <v>7</v>
      </c>
      <c r="N2" s="14" t="s">
        <v>8</v>
      </c>
      <c r="O2" s="15" t="s">
        <v>9</v>
      </c>
      <c r="P2" s="16" t="s">
        <v>10</v>
      </c>
      <c r="Q2" s="17" t="s">
        <v>11</v>
      </c>
      <c r="R2" s="18" t="s">
        <v>12</v>
      </c>
      <c r="S2" s="19" t="s">
        <v>13</v>
      </c>
      <c r="T2" s="20" t="s">
        <v>14</v>
      </c>
      <c r="U2" s="84"/>
      <c r="V2" s="84"/>
      <c r="W2" s="84"/>
      <c r="X2" s="84"/>
      <c r="Y2" s="82"/>
      <c r="Z2" s="85"/>
    </row>
    <row r="3">
      <c r="B3" s="21" t="s">
        <v>15</v>
      </c>
      <c r="C3" s="21" t="s">
        <v>16</v>
      </c>
      <c r="D3" s="21" t="s">
        <v>17</v>
      </c>
      <c r="E3" s="21" t="s">
        <v>18</v>
      </c>
      <c r="F3" s="22" t="s">
        <v>19</v>
      </c>
      <c r="G3" s="86">
        <v>2.0</v>
      </c>
      <c r="H3" s="24">
        <v>5.0</v>
      </c>
      <c r="I3" s="25">
        <v>7.0</v>
      </c>
      <c r="J3" s="26">
        <v>10.0</v>
      </c>
      <c r="K3" s="27">
        <v>11.0</v>
      </c>
      <c r="L3" s="28">
        <v>12.0</v>
      </c>
      <c r="M3" s="29">
        <v>13.0</v>
      </c>
      <c r="N3" s="30">
        <v>16.0</v>
      </c>
      <c r="O3" s="31">
        <v>27.0</v>
      </c>
      <c r="P3" s="32">
        <v>69.0</v>
      </c>
      <c r="Q3" s="33">
        <v>76.0</v>
      </c>
      <c r="R3" s="34">
        <v>77.0</v>
      </c>
      <c r="S3" s="35">
        <v>79.0</v>
      </c>
      <c r="T3" s="36">
        <v>81.0</v>
      </c>
      <c r="U3" s="87" t="s">
        <v>20</v>
      </c>
      <c r="V3" s="87" t="s">
        <v>21</v>
      </c>
      <c r="W3" s="88" t="s">
        <v>22</v>
      </c>
      <c r="X3" s="89" t="s">
        <v>23</v>
      </c>
      <c r="Y3" s="82"/>
      <c r="Z3" s="85"/>
    </row>
    <row r="4" ht="21.0" customHeight="1"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82"/>
      <c r="V4" s="82"/>
      <c r="W4" s="82"/>
      <c r="X4" s="82"/>
      <c r="Y4" s="82"/>
      <c r="Z4" s="90"/>
    </row>
    <row r="5" ht="21.0" customHeight="1">
      <c r="B5" s="41" t="s">
        <v>28</v>
      </c>
      <c r="C5" s="42"/>
      <c r="D5" s="42"/>
      <c r="E5" s="42"/>
      <c r="F5" s="4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82"/>
      <c r="V5" s="82"/>
      <c r="W5" s="82"/>
      <c r="X5" s="82"/>
      <c r="Y5" s="82"/>
      <c r="Z5" s="90"/>
    </row>
    <row r="6" ht="99.75" customHeight="1">
      <c r="B6" s="44" t="s">
        <v>29</v>
      </c>
      <c r="C6" s="21"/>
      <c r="D6" s="45">
        <v>6.0</v>
      </c>
      <c r="E6" s="45" t="s">
        <v>30</v>
      </c>
      <c r="F6" s="46">
        <v>70.0</v>
      </c>
      <c r="G6" s="91"/>
      <c r="H6" s="92"/>
      <c r="I6" s="93"/>
      <c r="J6" s="94"/>
      <c r="K6" s="95"/>
      <c r="L6" s="96"/>
      <c r="M6" s="97"/>
      <c r="N6" s="98"/>
      <c r="O6" s="99"/>
      <c r="P6" s="100"/>
      <c r="Q6" s="101"/>
      <c r="R6" s="102"/>
      <c r="S6" s="103"/>
      <c r="T6" s="104"/>
      <c r="U6" s="105">
        <f t="shared" ref="U6:U12" si="1">SUM(G6:T6)</f>
        <v>0</v>
      </c>
      <c r="V6" s="105">
        <f t="shared" ref="V6:V12" si="2">(G6+H6+I6+J6+K6+L6+M6+N6+P6+Q6+R6+S6+T6)*D6</f>
        <v>0</v>
      </c>
      <c r="W6" s="105">
        <f>U6*0.97</f>
        <v>0</v>
      </c>
      <c r="X6" s="106">
        <f t="shared" ref="X6:X12" si="3">U6*F6</f>
        <v>0</v>
      </c>
      <c r="Y6" s="82"/>
      <c r="Z6" s="90"/>
    </row>
    <row r="7" ht="99.75" customHeight="1">
      <c r="B7" s="44" t="s">
        <v>31</v>
      </c>
      <c r="C7" s="21"/>
      <c r="D7" s="45">
        <v>6.0</v>
      </c>
      <c r="E7" s="45" t="s">
        <v>32</v>
      </c>
      <c r="F7" s="46">
        <v>90.0</v>
      </c>
      <c r="G7" s="91"/>
      <c r="H7" s="92"/>
      <c r="I7" s="93"/>
      <c r="J7" s="94"/>
      <c r="K7" s="95"/>
      <c r="L7" s="96"/>
      <c r="M7" s="97"/>
      <c r="N7" s="98"/>
      <c r="O7" s="99"/>
      <c r="P7" s="100"/>
      <c r="Q7" s="101"/>
      <c r="R7" s="102"/>
      <c r="S7" s="103"/>
      <c r="T7" s="104"/>
      <c r="U7" s="105">
        <f t="shared" si="1"/>
        <v>0</v>
      </c>
      <c r="V7" s="105">
        <f t="shared" si="2"/>
        <v>0</v>
      </c>
      <c r="W7" s="105"/>
      <c r="X7" s="106">
        <f t="shared" si="3"/>
        <v>0</v>
      </c>
      <c r="Y7" s="82"/>
      <c r="Z7" s="90"/>
    </row>
    <row r="8" ht="99.75" customHeight="1">
      <c r="B8" s="107" t="s">
        <v>33</v>
      </c>
      <c r="C8" s="21"/>
      <c r="D8" s="45">
        <v>6.0</v>
      </c>
      <c r="E8" s="45" t="s">
        <v>34</v>
      </c>
      <c r="F8" s="46">
        <v>104.0</v>
      </c>
      <c r="G8" s="91"/>
      <c r="H8" s="92"/>
      <c r="I8" s="93"/>
      <c r="J8" s="94"/>
      <c r="K8" s="95"/>
      <c r="L8" s="96"/>
      <c r="M8" s="97"/>
      <c r="N8" s="98"/>
      <c r="O8" s="99"/>
      <c r="P8" s="100"/>
      <c r="Q8" s="101"/>
      <c r="R8" s="102"/>
      <c r="S8" s="103"/>
      <c r="T8" s="104"/>
      <c r="U8" s="105">
        <f t="shared" si="1"/>
        <v>0</v>
      </c>
      <c r="V8" s="105">
        <f t="shared" si="2"/>
        <v>0</v>
      </c>
      <c r="W8" s="105"/>
      <c r="X8" s="106">
        <f t="shared" si="3"/>
        <v>0</v>
      </c>
      <c r="Y8" s="82"/>
      <c r="Z8" s="90"/>
    </row>
    <row r="9" ht="99.75" customHeight="1">
      <c r="B9" s="107" t="s">
        <v>35</v>
      </c>
      <c r="C9" s="21"/>
      <c r="D9" s="45">
        <v>6.0</v>
      </c>
      <c r="E9" s="45" t="s">
        <v>36</v>
      </c>
      <c r="F9" s="46">
        <v>135.0</v>
      </c>
      <c r="G9" s="91"/>
      <c r="H9" s="92"/>
      <c r="I9" s="93"/>
      <c r="J9" s="94"/>
      <c r="K9" s="95"/>
      <c r="L9" s="96"/>
      <c r="M9" s="97"/>
      <c r="N9" s="98"/>
      <c r="O9" s="99"/>
      <c r="P9" s="100"/>
      <c r="Q9" s="101"/>
      <c r="R9" s="102"/>
      <c r="S9" s="103"/>
      <c r="T9" s="104"/>
      <c r="U9" s="105">
        <f t="shared" si="1"/>
        <v>0</v>
      </c>
      <c r="V9" s="105">
        <f t="shared" si="2"/>
        <v>0</v>
      </c>
      <c r="W9" s="105">
        <f>U9*2.34</f>
        <v>0</v>
      </c>
      <c r="X9" s="106">
        <f t="shared" si="3"/>
        <v>0</v>
      </c>
      <c r="Y9" s="82"/>
      <c r="Z9" s="90"/>
    </row>
    <row r="10" ht="99.75" customHeight="1">
      <c r="B10" s="107" t="s">
        <v>37</v>
      </c>
      <c r="C10" s="21"/>
      <c r="D10" s="45">
        <v>6.0</v>
      </c>
      <c r="E10" s="45" t="s">
        <v>38</v>
      </c>
      <c r="F10" s="46">
        <v>235.0</v>
      </c>
      <c r="G10" s="91"/>
      <c r="H10" s="92"/>
      <c r="I10" s="93"/>
      <c r="J10" s="94"/>
      <c r="K10" s="95"/>
      <c r="L10" s="96"/>
      <c r="M10" s="97"/>
      <c r="N10" s="98"/>
      <c r="O10" s="99"/>
      <c r="P10" s="100"/>
      <c r="Q10" s="101"/>
      <c r="R10" s="102"/>
      <c r="S10" s="103"/>
      <c r="T10" s="104"/>
      <c r="U10" s="105">
        <f t="shared" si="1"/>
        <v>0</v>
      </c>
      <c r="V10" s="105">
        <f t="shared" si="2"/>
        <v>0</v>
      </c>
      <c r="W10" s="105">
        <f>U10*2.82</f>
        <v>0</v>
      </c>
      <c r="X10" s="106">
        <f t="shared" si="3"/>
        <v>0</v>
      </c>
      <c r="Y10" s="82"/>
      <c r="Z10" s="90"/>
    </row>
    <row r="11" ht="99.75" customHeight="1">
      <c r="B11" s="107" t="s">
        <v>39</v>
      </c>
      <c r="C11" s="21"/>
      <c r="D11" s="45">
        <v>6.0</v>
      </c>
      <c r="E11" s="45" t="s">
        <v>40</v>
      </c>
      <c r="F11" s="46">
        <v>348.0</v>
      </c>
      <c r="G11" s="91"/>
      <c r="H11" s="92"/>
      <c r="I11" s="93"/>
      <c r="J11" s="94"/>
      <c r="K11" s="95"/>
      <c r="L11" s="96"/>
      <c r="M11" s="97"/>
      <c r="N11" s="98"/>
      <c r="O11" s="99"/>
      <c r="P11" s="100"/>
      <c r="Q11" s="101"/>
      <c r="R11" s="102"/>
      <c r="S11" s="103"/>
      <c r="T11" s="104"/>
      <c r="U11" s="105">
        <f t="shared" si="1"/>
        <v>0</v>
      </c>
      <c r="V11" s="105">
        <f t="shared" si="2"/>
        <v>0</v>
      </c>
      <c r="W11" s="105">
        <f>U11*4.85</f>
        <v>0</v>
      </c>
      <c r="X11" s="106">
        <f t="shared" si="3"/>
        <v>0</v>
      </c>
      <c r="Y11" s="82"/>
      <c r="Z11" s="90"/>
    </row>
    <row r="12" ht="99.75" customHeight="1">
      <c r="B12" s="107" t="s">
        <v>41</v>
      </c>
      <c r="C12" s="21"/>
      <c r="D12" s="45">
        <v>3.0</v>
      </c>
      <c r="E12" s="45" t="s">
        <v>42</v>
      </c>
      <c r="F12" s="46">
        <v>260.0</v>
      </c>
      <c r="G12" s="91"/>
      <c r="H12" s="92"/>
      <c r="I12" s="93"/>
      <c r="J12" s="94"/>
      <c r="K12" s="95"/>
      <c r="L12" s="96"/>
      <c r="M12" s="97"/>
      <c r="N12" s="98"/>
      <c r="O12" s="99"/>
      <c r="P12" s="100"/>
      <c r="Q12" s="101"/>
      <c r="R12" s="102"/>
      <c r="S12" s="103"/>
      <c r="T12" s="104"/>
      <c r="U12" s="105">
        <f t="shared" si="1"/>
        <v>0</v>
      </c>
      <c r="V12" s="105">
        <f t="shared" si="2"/>
        <v>0</v>
      </c>
      <c r="W12" s="105">
        <f>U12*3.95</f>
        <v>0</v>
      </c>
      <c r="X12" s="106">
        <f t="shared" si="3"/>
        <v>0</v>
      </c>
      <c r="Y12" s="82"/>
      <c r="Z12" s="90"/>
    </row>
    <row r="13" ht="15.75" customHeight="1">
      <c r="B13" s="5"/>
      <c r="C13" s="5"/>
      <c r="D13" s="5"/>
      <c r="E13" s="5"/>
      <c r="F13" s="6" t="s">
        <v>20</v>
      </c>
      <c r="G13" s="108">
        <f t="shared" ref="G13:X13" si="4">SUM(G6:G12)</f>
        <v>0</v>
      </c>
      <c r="H13" s="108">
        <f t="shared" si="4"/>
        <v>0</v>
      </c>
      <c r="I13" s="108">
        <f t="shared" si="4"/>
        <v>0</v>
      </c>
      <c r="J13" s="108">
        <f t="shared" si="4"/>
        <v>0</v>
      </c>
      <c r="K13" s="108">
        <f t="shared" si="4"/>
        <v>0</v>
      </c>
      <c r="L13" s="108">
        <f t="shared" si="4"/>
        <v>0</v>
      </c>
      <c r="M13" s="108">
        <f t="shared" si="4"/>
        <v>0</v>
      </c>
      <c r="N13" s="108">
        <f t="shared" si="4"/>
        <v>0</v>
      </c>
      <c r="O13" s="108">
        <f t="shared" si="4"/>
        <v>0</v>
      </c>
      <c r="P13" s="108">
        <f t="shared" si="4"/>
        <v>0</v>
      </c>
      <c r="Q13" s="108">
        <f t="shared" si="4"/>
        <v>0</v>
      </c>
      <c r="R13" s="108">
        <f t="shared" si="4"/>
        <v>0</v>
      </c>
      <c r="S13" s="108">
        <f t="shared" si="4"/>
        <v>0</v>
      </c>
      <c r="T13" s="108">
        <f t="shared" si="4"/>
        <v>0</v>
      </c>
      <c r="U13" s="109">
        <f t="shared" si="4"/>
        <v>0</v>
      </c>
      <c r="V13" s="109">
        <f t="shared" si="4"/>
        <v>0</v>
      </c>
      <c r="W13" s="109">
        <f t="shared" si="4"/>
        <v>0</v>
      </c>
      <c r="X13" s="110">
        <f t="shared" si="4"/>
        <v>0</v>
      </c>
      <c r="Y13" s="82"/>
      <c r="Z13" s="90"/>
    </row>
    <row r="14">
      <c r="B14" s="111"/>
      <c r="C14" s="111"/>
      <c r="D14" s="111"/>
      <c r="E14" s="111"/>
      <c r="F14" s="112"/>
      <c r="G14" s="111"/>
      <c r="H14" s="113"/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5"/>
      <c r="V14" s="115"/>
      <c r="W14" s="115"/>
      <c r="X14" s="115"/>
      <c r="Y14" s="82"/>
      <c r="Z14" s="85"/>
    </row>
    <row r="15">
      <c r="B15" s="41" t="s">
        <v>43</v>
      </c>
      <c r="C15" s="42"/>
      <c r="D15" s="42"/>
      <c r="E15" s="42"/>
      <c r="F15" s="42"/>
      <c r="G15" s="43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82"/>
      <c r="V15" s="82"/>
      <c r="W15" s="82"/>
      <c r="X15" s="82"/>
      <c r="Y15" s="82"/>
      <c r="Z15" s="85"/>
    </row>
    <row r="16" ht="99.75" customHeight="1">
      <c r="B16" s="45" t="s">
        <v>44</v>
      </c>
      <c r="C16" s="21"/>
      <c r="D16" s="45">
        <v>6.0</v>
      </c>
      <c r="E16" s="45" t="s">
        <v>45</v>
      </c>
      <c r="F16" s="46">
        <v>28.0</v>
      </c>
      <c r="G16" s="91"/>
      <c r="H16" s="92"/>
      <c r="I16" s="93"/>
      <c r="J16" s="94"/>
      <c r="K16" s="95"/>
      <c r="L16" s="96"/>
      <c r="M16" s="97"/>
      <c r="N16" s="98"/>
      <c r="O16" s="99"/>
      <c r="P16" s="100"/>
      <c r="Q16" s="101"/>
      <c r="R16" s="102"/>
      <c r="S16" s="103"/>
      <c r="T16" s="104"/>
      <c r="U16" s="105">
        <f t="shared" ref="U16:U28" si="5">SUM(G16:T16)</f>
        <v>0</v>
      </c>
      <c r="V16" s="105">
        <f t="shared" ref="V16:V19" si="6">(G16+H16+I16+J16+K16+L16+M16+N16+P16+Q16+R16+S16+T16)*D16</f>
        <v>0</v>
      </c>
      <c r="W16" s="105"/>
      <c r="X16" s="116">
        <f t="shared" ref="X16:X17" si="7">U16*F16</f>
        <v>0</v>
      </c>
      <c r="Y16" s="82"/>
      <c r="Z16" s="90"/>
    </row>
    <row r="17" ht="99.75" customHeight="1">
      <c r="B17" s="45" t="s">
        <v>46</v>
      </c>
      <c r="C17" s="21"/>
      <c r="D17" s="45">
        <v>6.0</v>
      </c>
      <c r="E17" s="45" t="s">
        <v>47</v>
      </c>
      <c r="F17" s="46">
        <v>28.0</v>
      </c>
      <c r="G17" s="91"/>
      <c r="H17" s="92"/>
      <c r="I17" s="93"/>
      <c r="J17" s="94"/>
      <c r="K17" s="95"/>
      <c r="L17" s="96"/>
      <c r="M17" s="97"/>
      <c r="N17" s="98"/>
      <c r="O17" s="99"/>
      <c r="P17" s="100"/>
      <c r="Q17" s="101"/>
      <c r="R17" s="102"/>
      <c r="S17" s="103"/>
      <c r="T17" s="104"/>
      <c r="U17" s="105">
        <f t="shared" si="5"/>
        <v>0</v>
      </c>
      <c r="V17" s="105">
        <f t="shared" si="6"/>
        <v>0</v>
      </c>
      <c r="W17" s="105"/>
      <c r="X17" s="116">
        <f t="shared" si="7"/>
        <v>0</v>
      </c>
      <c r="Y17" s="82"/>
      <c r="Z17" s="90"/>
    </row>
    <row r="18" ht="99.75" customHeight="1">
      <c r="B18" s="117" t="s">
        <v>48</v>
      </c>
      <c r="C18" s="118"/>
      <c r="D18" s="117">
        <v>6.0</v>
      </c>
      <c r="E18" s="117" t="s">
        <v>49</v>
      </c>
      <c r="F18" s="46">
        <v>33.0</v>
      </c>
      <c r="G18" s="91"/>
      <c r="H18" s="92"/>
      <c r="I18" s="93"/>
      <c r="J18" s="94"/>
      <c r="K18" s="95"/>
      <c r="L18" s="96"/>
      <c r="M18" s="97"/>
      <c r="N18" s="98"/>
      <c r="O18" s="99"/>
      <c r="P18" s="100"/>
      <c r="Q18" s="101"/>
      <c r="R18" s="102"/>
      <c r="S18" s="103"/>
      <c r="T18" s="104"/>
      <c r="U18" s="105">
        <f t="shared" si="5"/>
        <v>0</v>
      </c>
      <c r="V18" s="105">
        <f t="shared" si="6"/>
        <v>0</v>
      </c>
      <c r="W18" s="105">
        <f>U18*0.3</f>
        <v>0</v>
      </c>
      <c r="X18" s="116">
        <f t="shared" ref="X18:X19" si="8">F18*U18</f>
        <v>0</v>
      </c>
      <c r="Y18" s="82"/>
      <c r="Z18" s="90"/>
    </row>
    <row r="19" ht="99.75" customHeight="1">
      <c r="B19" s="117" t="s">
        <v>46</v>
      </c>
      <c r="C19" s="118"/>
      <c r="D19" s="117">
        <v>6.0</v>
      </c>
      <c r="E19" s="117" t="s">
        <v>50</v>
      </c>
      <c r="F19" s="46">
        <v>29.0</v>
      </c>
      <c r="G19" s="91"/>
      <c r="H19" s="92"/>
      <c r="I19" s="93"/>
      <c r="J19" s="94"/>
      <c r="K19" s="95"/>
      <c r="L19" s="96"/>
      <c r="M19" s="97"/>
      <c r="N19" s="98"/>
      <c r="O19" s="99"/>
      <c r="P19" s="100"/>
      <c r="Q19" s="101"/>
      <c r="R19" s="102"/>
      <c r="S19" s="103"/>
      <c r="T19" s="104"/>
      <c r="U19" s="105">
        <f t="shared" si="5"/>
        <v>0</v>
      </c>
      <c r="V19" s="105">
        <f t="shared" si="6"/>
        <v>0</v>
      </c>
      <c r="W19" s="105">
        <f>U19*0.2</f>
        <v>0</v>
      </c>
      <c r="X19" s="116">
        <f t="shared" si="8"/>
        <v>0</v>
      </c>
      <c r="Y19" s="82"/>
      <c r="Z19" s="90"/>
    </row>
    <row r="20" ht="99.75" customHeight="1">
      <c r="B20" s="119" t="s">
        <v>51</v>
      </c>
      <c r="C20" s="21"/>
      <c r="D20" s="45">
        <v>6.0</v>
      </c>
      <c r="E20" s="45" t="s">
        <v>52</v>
      </c>
      <c r="F20" s="46">
        <v>66.0</v>
      </c>
      <c r="G20" s="91"/>
      <c r="H20" s="92"/>
      <c r="I20" s="93"/>
      <c r="J20" s="94"/>
      <c r="K20" s="95"/>
      <c r="L20" s="96"/>
      <c r="M20" s="97"/>
      <c r="N20" s="98"/>
      <c r="O20" s="99"/>
      <c r="P20" s="100"/>
      <c r="Q20" s="101"/>
      <c r="R20" s="102"/>
      <c r="S20" s="103"/>
      <c r="T20" s="104"/>
      <c r="U20" s="105">
        <f t="shared" si="5"/>
        <v>0</v>
      </c>
      <c r="V20" s="105">
        <f>D20*U20</f>
        <v>0</v>
      </c>
      <c r="W20" s="105">
        <f>U20*0.9</f>
        <v>0</v>
      </c>
      <c r="X20" s="116">
        <f t="shared" ref="X20:X22" si="9">U20*F20</f>
        <v>0</v>
      </c>
      <c r="Y20" s="82"/>
      <c r="Z20" s="90"/>
    </row>
    <row r="21" ht="99.75" customHeight="1">
      <c r="B21" s="120" t="s">
        <v>53</v>
      </c>
      <c r="C21" s="118"/>
      <c r="D21" s="117">
        <v>6.0</v>
      </c>
      <c r="E21" s="117" t="s">
        <v>54</v>
      </c>
      <c r="F21" s="46">
        <v>51.0</v>
      </c>
      <c r="G21" s="91"/>
      <c r="H21" s="92"/>
      <c r="I21" s="93"/>
      <c r="J21" s="94"/>
      <c r="K21" s="95"/>
      <c r="L21" s="96"/>
      <c r="M21" s="97"/>
      <c r="N21" s="98"/>
      <c r="O21" s="99"/>
      <c r="P21" s="100"/>
      <c r="Q21" s="101"/>
      <c r="R21" s="102"/>
      <c r="S21" s="103"/>
      <c r="T21" s="104"/>
      <c r="U21" s="105">
        <f t="shared" si="5"/>
        <v>0</v>
      </c>
      <c r="V21" s="105">
        <f t="shared" ref="V21:V22" si="10">(G21+H21+I21+J21+K21+L21+M21+N21+P21+Q21+R21+S21+T21)*D21</f>
        <v>0</v>
      </c>
      <c r="W21" s="105">
        <f>U21*0.6</f>
        <v>0</v>
      </c>
      <c r="X21" s="116">
        <f t="shared" si="9"/>
        <v>0</v>
      </c>
      <c r="Y21" s="82"/>
      <c r="Z21" s="90"/>
    </row>
    <row r="22" ht="99.75" customHeight="1">
      <c r="B22" s="45" t="s">
        <v>55</v>
      </c>
      <c r="C22" s="21"/>
      <c r="D22" s="45">
        <v>6.0</v>
      </c>
      <c r="E22" s="45" t="s">
        <v>56</v>
      </c>
      <c r="F22" s="46">
        <v>58.0</v>
      </c>
      <c r="G22" s="91"/>
      <c r="H22" s="92"/>
      <c r="I22" s="93"/>
      <c r="J22" s="94"/>
      <c r="K22" s="95"/>
      <c r="L22" s="96"/>
      <c r="M22" s="97"/>
      <c r="N22" s="98"/>
      <c r="O22" s="99"/>
      <c r="P22" s="100"/>
      <c r="Q22" s="101"/>
      <c r="R22" s="102"/>
      <c r="S22" s="103"/>
      <c r="T22" s="104"/>
      <c r="U22" s="105">
        <f t="shared" si="5"/>
        <v>0</v>
      </c>
      <c r="V22" s="105">
        <f t="shared" si="10"/>
        <v>0</v>
      </c>
      <c r="W22" s="105">
        <f>U22*0.73</f>
        <v>0</v>
      </c>
      <c r="X22" s="116">
        <f t="shared" si="9"/>
        <v>0</v>
      </c>
      <c r="Y22" s="82"/>
      <c r="Z22" s="90"/>
    </row>
    <row r="23" ht="99.75" customHeight="1">
      <c r="B23" s="119" t="s">
        <v>57</v>
      </c>
      <c r="C23" s="118"/>
      <c r="D23" s="117">
        <v>6.0</v>
      </c>
      <c r="E23" s="117" t="s">
        <v>58</v>
      </c>
      <c r="F23" s="46">
        <v>99.0</v>
      </c>
      <c r="G23" s="91"/>
      <c r="H23" s="92"/>
      <c r="I23" s="93"/>
      <c r="J23" s="94"/>
      <c r="K23" s="95"/>
      <c r="L23" s="96"/>
      <c r="M23" s="97"/>
      <c r="N23" s="98"/>
      <c r="O23" s="99"/>
      <c r="P23" s="100"/>
      <c r="Q23" s="101"/>
      <c r="R23" s="102"/>
      <c r="S23" s="103"/>
      <c r="T23" s="104"/>
      <c r="U23" s="105">
        <f t="shared" si="5"/>
        <v>0</v>
      </c>
      <c r="V23" s="105">
        <v>0.0</v>
      </c>
      <c r="W23" s="105">
        <f>U23*1.6</f>
        <v>0</v>
      </c>
      <c r="X23" s="116">
        <f>F23*U23</f>
        <v>0</v>
      </c>
      <c r="Y23" s="82"/>
      <c r="Z23" s="90"/>
    </row>
    <row r="24" ht="99.75" customHeight="1">
      <c r="B24" s="119" t="s">
        <v>59</v>
      </c>
      <c r="C24" s="21"/>
      <c r="D24" s="45">
        <v>6.0</v>
      </c>
      <c r="E24" s="45" t="s">
        <v>60</v>
      </c>
      <c r="F24" s="46">
        <v>120.0</v>
      </c>
      <c r="G24" s="91"/>
      <c r="H24" s="92"/>
      <c r="I24" s="93"/>
      <c r="J24" s="94"/>
      <c r="K24" s="95"/>
      <c r="L24" s="96"/>
      <c r="M24" s="97"/>
      <c r="N24" s="98"/>
      <c r="O24" s="99"/>
      <c r="P24" s="100"/>
      <c r="Q24" s="101"/>
      <c r="R24" s="102"/>
      <c r="S24" s="103"/>
      <c r="T24" s="104"/>
      <c r="U24" s="105">
        <f t="shared" si="5"/>
        <v>0</v>
      </c>
      <c r="V24" s="105">
        <f t="shared" ref="V24:V28" si="11">(G24+H24+I24+J24+K24+L24+M24+N24+P24+Q24+R24+S24+T24)*D24</f>
        <v>0</v>
      </c>
      <c r="W24" s="105">
        <f>U24*2.1</f>
        <v>0</v>
      </c>
      <c r="X24" s="116">
        <f t="shared" ref="X24:X28" si="12">U24*F24</f>
        <v>0</v>
      </c>
      <c r="Y24" s="82"/>
      <c r="Z24" s="90"/>
    </row>
    <row r="25" ht="99.75" customHeight="1">
      <c r="A25" s="121"/>
      <c r="B25" s="119" t="s">
        <v>61</v>
      </c>
      <c r="C25" s="21"/>
      <c r="D25" s="45">
        <v>6.0</v>
      </c>
      <c r="E25" s="45" t="s">
        <v>62</v>
      </c>
      <c r="F25" s="46">
        <v>200.0</v>
      </c>
      <c r="G25" s="91"/>
      <c r="H25" s="92"/>
      <c r="I25" s="93"/>
      <c r="J25" s="94"/>
      <c r="K25" s="95"/>
      <c r="L25" s="96"/>
      <c r="M25" s="97"/>
      <c r="N25" s="98"/>
      <c r="O25" s="99"/>
      <c r="P25" s="100"/>
      <c r="Q25" s="101"/>
      <c r="R25" s="102"/>
      <c r="S25" s="103"/>
      <c r="T25" s="104"/>
      <c r="U25" s="105">
        <f t="shared" si="5"/>
        <v>0</v>
      </c>
      <c r="V25" s="105">
        <f t="shared" si="11"/>
        <v>0</v>
      </c>
      <c r="W25" s="105">
        <f>U25*2.2</f>
        <v>0</v>
      </c>
      <c r="X25" s="116">
        <f t="shared" si="12"/>
        <v>0</v>
      </c>
      <c r="Y25" s="82"/>
      <c r="Z25" s="90"/>
    </row>
    <row r="26" ht="99.75" customHeight="1">
      <c r="B26" s="119" t="s">
        <v>63</v>
      </c>
      <c r="C26" s="21"/>
      <c r="D26" s="45">
        <v>6.0</v>
      </c>
      <c r="E26" s="45" t="s">
        <v>64</v>
      </c>
      <c r="F26" s="46">
        <v>300.0</v>
      </c>
      <c r="G26" s="91"/>
      <c r="H26" s="92"/>
      <c r="I26" s="93"/>
      <c r="J26" s="94"/>
      <c r="K26" s="95"/>
      <c r="L26" s="96"/>
      <c r="M26" s="97"/>
      <c r="N26" s="98"/>
      <c r="O26" s="99"/>
      <c r="P26" s="100"/>
      <c r="Q26" s="101"/>
      <c r="R26" s="102"/>
      <c r="S26" s="103"/>
      <c r="T26" s="104"/>
      <c r="U26" s="105">
        <f t="shared" si="5"/>
        <v>0</v>
      </c>
      <c r="V26" s="105">
        <f t="shared" si="11"/>
        <v>0</v>
      </c>
      <c r="W26" s="105">
        <f>U26*4</f>
        <v>0</v>
      </c>
      <c r="X26" s="116">
        <f t="shared" si="12"/>
        <v>0</v>
      </c>
      <c r="Y26" s="82"/>
      <c r="Z26" s="90"/>
    </row>
    <row r="27" ht="99.75" customHeight="1">
      <c r="B27" s="119" t="s">
        <v>65</v>
      </c>
      <c r="C27" s="21"/>
      <c r="D27" s="45">
        <v>6.0</v>
      </c>
      <c r="E27" s="45" t="s">
        <v>66</v>
      </c>
      <c r="F27" s="46">
        <v>402.0</v>
      </c>
      <c r="G27" s="91"/>
      <c r="H27" s="92"/>
      <c r="I27" s="93"/>
      <c r="J27" s="94"/>
      <c r="K27" s="95"/>
      <c r="L27" s="96"/>
      <c r="M27" s="97"/>
      <c r="N27" s="98"/>
      <c r="O27" s="99"/>
      <c r="P27" s="100"/>
      <c r="Q27" s="101"/>
      <c r="R27" s="102"/>
      <c r="S27" s="103"/>
      <c r="T27" s="104"/>
      <c r="U27" s="105">
        <f t="shared" si="5"/>
        <v>0</v>
      </c>
      <c r="V27" s="105">
        <f t="shared" si="11"/>
        <v>0</v>
      </c>
      <c r="W27" s="105">
        <f>U27*5.85</f>
        <v>0</v>
      </c>
      <c r="X27" s="116">
        <f t="shared" si="12"/>
        <v>0</v>
      </c>
      <c r="Y27" s="82"/>
      <c r="Z27" s="90"/>
    </row>
    <row r="28" ht="99.75" customHeight="1">
      <c r="B28" s="119" t="s">
        <v>67</v>
      </c>
      <c r="C28" s="21"/>
      <c r="D28" s="45">
        <v>6.0</v>
      </c>
      <c r="E28" s="45" t="s">
        <v>68</v>
      </c>
      <c r="F28" s="46">
        <v>641.0</v>
      </c>
      <c r="G28" s="91"/>
      <c r="H28" s="92"/>
      <c r="I28" s="93"/>
      <c r="J28" s="94"/>
      <c r="K28" s="95"/>
      <c r="L28" s="96"/>
      <c r="M28" s="97"/>
      <c r="N28" s="98"/>
      <c r="O28" s="99"/>
      <c r="P28" s="100"/>
      <c r="Q28" s="101"/>
      <c r="R28" s="102"/>
      <c r="S28" s="103"/>
      <c r="T28" s="104"/>
      <c r="U28" s="105">
        <f t="shared" si="5"/>
        <v>0</v>
      </c>
      <c r="V28" s="105">
        <f t="shared" si="11"/>
        <v>0</v>
      </c>
      <c r="W28" s="105">
        <f>U28*10.2</f>
        <v>0</v>
      </c>
      <c r="X28" s="116">
        <f t="shared" si="12"/>
        <v>0</v>
      </c>
      <c r="Y28" s="82"/>
      <c r="Z28" s="90"/>
    </row>
    <row r="29" ht="32.25" customHeight="1">
      <c r="B29" s="45"/>
      <c r="C29" s="21"/>
      <c r="D29" s="45"/>
      <c r="E29" s="45"/>
      <c r="F29" s="6" t="s">
        <v>20</v>
      </c>
      <c r="G29" s="122">
        <f t="shared" ref="G29:X29" si="13">SUM(G16:G28)</f>
        <v>0</v>
      </c>
      <c r="H29" s="122">
        <f t="shared" si="13"/>
        <v>0</v>
      </c>
      <c r="I29" s="122">
        <f t="shared" si="13"/>
        <v>0</v>
      </c>
      <c r="J29" s="122">
        <f t="shared" si="13"/>
        <v>0</v>
      </c>
      <c r="K29" s="122">
        <f t="shared" si="13"/>
        <v>0</v>
      </c>
      <c r="L29" s="122">
        <f t="shared" si="13"/>
        <v>0</v>
      </c>
      <c r="M29" s="122">
        <f t="shared" si="13"/>
        <v>0</v>
      </c>
      <c r="N29" s="122">
        <f t="shared" si="13"/>
        <v>0</v>
      </c>
      <c r="O29" s="122">
        <f t="shared" si="13"/>
        <v>0</v>
      </c>
      <c r="P29" s="122">
        <f t="shared" si="13"/>
        <v>0</v>
      </c>
      <c r="Q29" s="122">
        <f t="shared" si="13"/>
        <v>0</v>
      </c>
      <c r="R29" s="122">
        <f t="shared" si="13"/>
        <v>0</v>
      </c>
      <c r="S29" s="122">
        <f t="shared" si="13"/>
        <v>0</v>
      </c>
      <c r="T29" s="122">
        <f t="shared" si="13"/>
        <v>0</v>
      </c>
      <c r="U29" s="123">
        <f t="shared" si="13"/>
        <v>0</v>
      </c>
      <c r="V29" s="123">
        <f t="shared" si="13"/>
        <v>0</v>
      </c>
      <c r="W29" s="123">
        <f t="shared" si="13"/>
        <v>0</v>
      </c>
      <c r="X29" s="124">
        <f t="shared" si="13"/>
        <v>0</v>
      </c>
      <c r="Y29" s="82"/>
      <c r="Z29" s="90"/>
    </row>
    <row r="30" ht="15.75" customHeight="1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82"/>
      <c r="V30" s="82"/>
      <c r="W30" s="82"/>
      <c r="X30" s="82"/>
      <c r="Y30" s="82"/>
      <c r="Z30" s="82"/>
    </row>
    <row r="31" ht="24.0" customHeight="1">
      <c r="B31" s="125" t="s">
        <v>69</v>
      </c>
      <c r="C31" s="4"/>
      <c r="D31" s="4"/>
      <c r="E31" s="4"/>
      <c r="F31" s="4"/>
      <c r="G31" s="126"/>
      <c r="H31" s="126"/>
      <c r="I31" s="126"/>
      <c r="J31" s="127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84"/>
      <c r="V31" s="84"/>
      <c r="W31" s="84"/>
      <c r="X31" s="128"/>
      <c r="Y31" s="82"/>
      <c r="Z31" s="90"/>
    </row>
    <row r="32" ht="15.75" customHeight="1">
      <c r="B32" s="5"/>
      <c r="C32" s="5"/>
      <c r="D32" s="5"/>
      <c r="E32" s="5"/>
      <c r="F32" s="6"/>
      <c r="G32" s="126"/>
      <c r="H32" s="126"/>
      <c r="I32" s="126"/>
      <c r="J32" s="127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84"/>
      <c r="V32" s="84"/>
      <c r="W32" s="84"/>
      <c r="X32" s="128"/>
      <c r="Y32" s="82"/>
      <c r="Z32" s="90"/>
    </row>
    <row r="33" ht="99.75" customHeight="1">
      <c r="B33" s="129" t="s">
        <v>70</v>
      </c>
      <c r="C33" s="130"/>
      <c r="D33" s="131">
        <v>6.0</v>
      </c>
      <c r="E33" s="131" t="s">
        <v>71</v>
      </c>
      <c r="F33" s="46">
        <v>40.0</v>
      </c>
      <c r="G33" s="132"/>
      <c r="H33" s="133"/>
      <c r="I33" s="134"/>
      <c r="J33" s="135"/>
      <c r="K33" s="136"/>
      <c r="L33" s="137"/>
      <c r="M33" s="138"/>
      <c r="N33" s="139"/>
      <c r="O33" s="140"/>
      <c r="P33" s="141"/>
      <c r="Q33" s="142"/>
      <c r="R33" s="143"/>
      <c r="S33" s="144"/>
      <c r="T33" s="145"/>
      <c r="U33" s="146">
        <f t="shared" ref="U33:U42" si="14">SUM(G33:T33)</f>
        <v>0</v>
      </c>
      <c r="V33" s="146">
        <f t="shared" ref="V33:V42" si="15">U33*D33</f>
        <v>0</v>
      </c>
      <c r="W33" s="146">
        <f>U33*0.55</f>
        <v>0</v>
      </c>
      <c r="X33" s="147">
        <f t="shared" ref="X33:X42" si="16">U33*F33</f>
        <v>0</v>
      </c>
      <c r="Y33" s="82"/>
      <c r="Z33" s="90"/>
    </row>
    <row r="34" ht="99.75" customHeight="1">
      <c r="B34" s="107" t="s">
        <v>72</v>
      </c>
      <c r="C34" s="148"/>
      <c r="D34" s="45">
        <v>6.0</v>
      </c>
      <c r="E34" s="45" t="s">
        <v>73</v>
      </c>
      <c r="F34" s="46">
        <v>32.0</v>
      </c>
      <c r="G34" s="91"/>
      <c r="H34" s="92"/>
      <c r="I34" s="93"/>
      <c r="J34" s="94"/>
      <c r="K34" s="95"/>
      <c r="L34" s="96"/>
      <c r="M34" s="97"/>
      <c r="N34" s="98"/>
      <c r="O34" s="99"/>
      <c r="P34" s="100"/>
      <c r="Q34" s="101"/>
      <c r="R34" s="102"/>
      <c r="S34" s="103"/>
      <c r="T34" s="149"/>
      <c r="U34" s="146">
        <f t="shared" si="14"/>
        <v>0</v>
      </c>
      <c r="V34" s="105">
        <f t="shared" si="15"/>
        <v>0</v>
      </c>
      <c r="W34" s="105">
        <f>U34*0.4</f>
        <v>0</v>
      </c>
      <c r="X34" s="106">
        <f t="shared" si="16"/>
        <v>0</v>
      </c>
      <c r="Y34" s="82"/>
      <c r="Z34" s="90"/>
    </row>
    <row r="35" ht="99.75" customHeight="1">
      <c r="B35" s="107" t="s">
        <v>74</v>
      </c>
      <c r="C35" s="148"/>
      <c r="D35" s="45">
        <v>6.0</v>
      </c>
      <c r="E35" s="45" t="s">
        <v>75</v>
      </c>
      <c r="F35" s="46">
        <v>69.0</v>
      </c>
      <c r="G35" s="91"/>
      <c r="H35" s="92"/>
      <c r="I35" s="93"/>
      <c r="J35" s="94"/>
      <c r="K35" s="95"/>
      <c r="L35" s="96"/>
      <c r="M35" s="97"/>
      <c r="N35" s="98"/>
      <c r="O35" s="99"/>
      <c r="P35" s="100"/>
      <c r="Q35" s="101"/>
      <c r="R35" s="102"/>
      <c r="S35" s="103"/>
      <c r="T35" s="149"/>
      <c r="U35" s="146">
        <f t="shared" si="14"/>
        <v>0</v>
      </c>
      <c r="V35" s="105">
        <f t="shared" si="15"/>
        <v>0</v>
      </c>
      <c r="W35" s="105">
        <f>U35*1.2</f>
        <v>0</v>
      </c>
      <c r="X35" s="106">
        <f t="shared" si="16"/>
        <v>0</v>
      </c>
      <c r="Y35" s="82"/>
      <c r="Z35" s="90"/>
    </row>
    <row r="36" ht="99.75" customHeight="1">
      <c r="B36" s="107" t="s">
        <v>76</v>
      </c>
      <c r="C36" s="148"/>
      <c r="D36" s="45">
        <v>6.0</v>
      </c>
      <c r="E36" s="45" t="s">
        <v>77</v>
      </c>
      <c r="F36" s="46">
        <v>49.0</v>
      </c>
      <c r="G36" s="91"/>
      <c r="H36" s="92"/>
      <c r="I36" s="93"/>
      <c r="J36" s="94"/>
      <c r="K36" s="95"/>
      <c r="L36" s="96"/>
      <c r="M36" s="97"/>
      <c r="N36" s="98"/>
      <c r="O36" s="99"/>
      <c r="P36" s="100"/>
      <c r="Q36" s="101"/>
      <c r="R36" s="102"/>
      <c r="S36" s="103"/>
      <c r="T36" s="149"/>
      <c r="U36" s="146">
        <f t="shared" si="14"/>
        <v>0</v>
      </c>
      <c r="V36" s="105">
        <f t="shared" si="15"/>
        <v>0</v>
      </c>
      <c r="W36" s="105">
        <f>U36*0.77</f>
        <v>0</v>
      </c>
      <c r="X36" s="106">
        <f t="shared" si="16"/>
        <v>0</v>
      </c>
      <c r="Y36" s="82"/>
      <c r="Z36" s="90"/>
    </row>
    <row r="37" ht="99.75" customHeight="1">
      <c r="B37" s="107" t="s">
        <v>78</v>
      </c>
      <c r="C37" s="148"/>
      <c r="D37" s="45">
        <v>6.0</v>
      </c>
      <c r="E37" s="45" t="s">
        <v>79</v>
      </c>
      <c r="F37" s="46">
        <v>116.0</v>
      </c>
      <c r="G37" s="91"/>
      <c r="H37" s="92"/>
      <c r="I37" s="93"/>
      <c r="J37" s="94"/>
      <c r="K37" s="95"/>
      <c r="L37" s="96"/>
      <c r="M37" s="97"/>
      <c r="N37" s="98"/>
      <c r="O37" s="99"/>
      <c r="P37" s="100"/>
      <c r="Q37" s="101"/>
      <c r="R37" s="102"/>
      <c r="S37" s="103"/>
      <c r="T37" s="149"/>
      <c r="U37" s="146">
        <f t="shared" si="14"/>
        <v>0</v>
      </c>
      <c r="V37" s="105">
        <f t="shared" si="15"/>
        <v>0</v>
      </c>
      <c r="W37" s="105">
        <f>U37*2.27</f>
        <v>0</v>
      </c>
      <c r="X37" s="106">
        <f t="shared" si="16"/>
        <v>0</v>
      </c>
      <c r="Y37" s="82"/>
      <c r="Z37" s="90"/>
    </row>
    <row r="38" ht="99.75" customHeight="1">
      <c r="B38" s="107" t="s">
        <v>80</v>
      </c>
      <c r="C38" s="148"/>
      <c r="D38" s="45">
        <v>6.0</v>
      </c>
      <c r="E38" s="45" t="s">
        <v>81</v>
      </c>
      <c r="F38" s="46">
        <v>61.0</v>
      </c>
      <c r="G38" s="91"/>
      <c r="H38" s="92"/>
      <c r="I38" s="93"/>
      <c r="J38" s="94"/>
      <c r="K38" s="95"/>
      <c r="L38" s="96"/>
      <c r="M38" s="97"/>
      <c r="N38" s="98"/>
      <c r="O38" s="99"/>
      <c r="P38" s="100"/>
      <c r="Q38" s="101"/>
      <c r="R38" s="102"/>
      <c r="S38" s="103"/>
      <c r="T38" s="149"/>
      <c r="U38" s="146">
        <f t="shared" si="14"/>
        <v>0</v>
      </c>
      <c r="V38" s="105">
        <f t="shared" si="15"/>
        <v>0</v>
      </c>
      <c r="W38" s="105">
        <f>U38*1.04</f>
        <v>0</v>
      </c>
      <c r="X38" s="106">
        <f t="shared" si="16"/>
        <v>0</v>
      </c>
      <c r="Y38" s="82"/>
      <c r="Z38" s="90"/>
    </row>
    <row r="39" ht="99.75" customHeight="1">
      <c r="B39" s="107" t="s">
        <v>82</v>
      </c>
      <c r="C39" s="148"/>
      <c r="D39" s="45">
        <v>6.0</v>
      </c>
      <c r="E39" s="45" t="s">
        <v>83</v>
      </c>
      <c r="F39" s="46">
        <v>97.0</v>
      </c>
      <c r="G39" s="91"/>
      <c r="H39" s="92"/>
      <c r="I39" s="93"/>
      <c r="J39" s="94"/>
      <c r="K39" s="95"/>
      <c r="L39" s="96"/>
      <c r="M39" s="97"/>
      <c r="N39" s="98"/>
      <c r="O39" s="99"/>
      <c r="P39" s="100"/>
      <c r="Q39" s="101"/>
      <c r="R39" s="102"/>
      <c r="S39" s="103"/>
      <c r="T39" s="149"/>
      <c r="U39" s="146">
        <f t="shared" si="14"/>
        <v>0</v>
      </c>
      <c r="V39" s="105">
        <f t="shared" si="15"/>
        <v>0</v>
      </c>
      <c r="W39" s="105">
        <f>U39*1.84</f>
        <v>0</v>
      </c>
      <c r="X39" s="106">
        <f t="shared" si="16"/>
        <v>0</v>
      </c>
      <c r="Y39" s="82"/>
      <c r="Z39" s="90"/>
    </row>
    <row r="40" ht="99.75" customHeight="1">
      <c r="B40" s="150" t="s">
        <v>84</v>
      </c>
      <c r="C40" s="151"/>
      <c r="D40" s="117">
        <v>6.0</v>
      </c>
      <c r="E40" s="117" t="s">
        <v>85</v>
      </c>
      <c r="F40" s="46">
        <v>181.0</v>
      </c>
      <c r="G40" s="91"/>
      <c r="H40" s="92"/>
      <c r="I40" s="93"/>
      <c r="J40" s="152"/>
      <c r="K40" s="95"/>
      <c r="L40" s="96"/>
      <c r="M40" s="97"/>
      <c r="N40" s="98"/>
      <c r="O40" s="99"/>
      <c r="P40" s="100"/>
      <c r="Q40" s="101"/>
      <c r="R40" s="102"/>
      <c r="S40" s="103"/>
      <c r="T40" s="149"/>
      <c r="U40" s="146">
        <f t="shared" si="14"/>
        <v>0</v>
      </c>
      <c r="V40" s="105">
        <f t="shared" si="15"/>
        <v>0</v>
      </c>
      <c r="W40" s="105"/>
      <c r="X40" s="106">
        <f t="shared" si="16"/>
        <v>0</v>
      </c>
      <c r="Y40" s="82"/>
      <c r="Z40" s="90"/>
    </row>
    <row r="41" ht="99.75" customHeight="1">
      <c r="B41" s="150" t="s">
        <v>86</v>
      </c>
      <c r="C41" s="151"/>
      <c r="D41" s="117">
        <v>6.0</v>
      </c>
      <c r="E41" s="117" t="s">
        <v>87</v>
      </c>
      <c r="F41" s="46">
        <v>218.0</v>
      </c>
      <c r="G41" s="91"/>
      <c r="H41" s="92"/>
      <c r="I41" s="93"/>
      <c r="J41" s="94"/>
      <c r="K41" s="95"/>
      <c r="L41" s="96"/>
      <c r="M41" s="97"/>
      <c r="N41" s="98"/>
      <c r="O41" s="99"/>
      <c r="P41" s="100"/>
      <c r="Q41" s="101"/>
      <c r="R41" s="102"/>
      <c r="S41" s="103"/>
      <c r="T41" s="149"/>
      <c r="U41" s="146">
        <f t="shared" si="14"/>
        <v>0</v>
      </c>
      <c r="V41" s="105">
        <f t="shared" si="15"/>
        <v>0</v>
      </c>
      <c r="W41" s="105"/>
      <c r="X41" s="106">
        <f t="shared" si="16"/>
        <v>0</v>
      </c>
      <c r="Y41" s="82"/>
      <c r="Z41" s="90"/>
    </row>
    <row r="42" ht="99.75" customHeight="1">
      <c r="B42" s="153" t="s">
        <v>88</v>
      </c>
      <c r="C42" s="154"/>
      <c r="D42" s="19">
        <v>6.0</v>
      </c>
      <c r="E42" s="19" t="s">
        <v>89</v>
      </c>
      <c r="F42" s="46">
        <v>256.0</v>
      </c>
      <c r="G42" s="155"/>
      <c r="H42" s="156"/>
      <c r="I42" s="157"/>
      <c r="J42" s="158"/>
      <c r="K42" s="159"/>
      <c r="L42" s="160"/>
      <c r="M42" s="161"/>
      <c r="N42" s="162"/>
      <c r="O42" s="163"/>
      <c r="P42" s="164"/>
      <c r="Q42" s="165"/>
      <c r="R42" s="166"/>
      <c r="S42" s="167"/>
      <c r="T42" s="168"/>
      <c r="U42" s="146">
        <f t="shared" si="14"/>
        <v>0</v>
      </c>
      <c r="V42" s="169">
        <f t="shared" si="15"/>
        <v>0</v>
      </c>
      <c r="W42" s="169">
        <f>U42*3.62</f>
        <v>0</v>
      </c>
      <c r="X42" s="170">
        <f t="shared" si="16"/>
        <v>0</v>
      </c>
      <c r="Y42" s="82"/>
      <c r="Z42" s="90"/>
    </row>
    <row r="43" ht="15.75" customHeight="1">
      <c r="B43" s="5"/>
      <c r="C43" s="5"/>
      <c r="D43" s="5"/>
      <c r="E43" s="5"/>
      <c r="F43" s="6" t="s">
        <v>20</v>
      </c>
      <c r="G43" s="122">
        <f t="shared" ref="G43:X43" si="17">SUM(G33:G42)</f>
        <v>0</v>
      </c>
      <c r="H43" s="122">
        <f t="shared" si="17"/>
        <v>0</v>
      </c>
      <c r="I43" s="122">
        <f t="shared" si="17"/>
        <v>0</v>
      </c>
      <c r="J43" s="122">
        <f t="shared" si="17"/>
        <v>0</v>
      </c>
      <c r="K43" s="122">
        <f t="shared" si="17"/>
        <v>0</v>
      </c>
      <c r="L43" s="122">
        <f t="shared" si="17"/>
        <v>0</v>
      </c>
      <c r="M43" s="122">
        <f t="shared" si="17"/>
        <v>0</v>
      </c>
      <c r="N43" s="122">
        <f t="shared" si="17"/>
        <v>0</v>
      </c>
      <c r="O43" s="122">
        <f t="shared" si="17"/>
        <v>0</v>
      </c>
      <c r="P43" s="122">
        <f t="shared" si="17"/>
        <v>0</v>
      </c>
      <c r="Q43" s="122">
        <f t="shared" si="17"/>
        <v>0</v>
      </c>
      <c r="R43" s="122">
        <f t="shared" si="17"/>
        <v>0</v>
      </c>
      <c r="S43" s="122">
        <f t="shared" si="17"/>
        <v>0</v>
      </c>
      <c r="T43" s="122">
        <f t="shared" si="17"/>
        <v>0</v>
      </c>
      <c r="U43" s="123">
        <f t="shared" si="17"/>
        <v>0</v>
      </c>
      <c r="V43" s="123">
        <f t="shared" si="17"/>
        <v>0</v>
      </c>
      <c r="W43" s="123">
        <f t="shared" si="17"/>
        <v>0</v>
      </c>
      <c r="X43" s="124">
        <f t="shared" si="17"/>
        <v>0</v>
      </c>
      <c r="Y43" s="82"/>
      <c r="Z43" s="85"/>
    </row>
    <row r="44" ht="15.75" customHeight="1"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82"/>
      <c r="V44" s="82"/>
      <c r="W44" s="82"/>
      <c r="X44" s="82"/>
      <c r="Y44" s="82"/>
      <c r="Z44" s="82"/>
    </row>
    <row r="45" ht="15.75" customHeight="1">
      <c r="F45" s="1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82"/>
      <c r="V45" s="82"/>
      <c r="W45" s="82"/>
      <c r="X45" s="82"/>
      <c r="Y45" s="82"/>
      <c r="Z45" s="82"/>
    </row>
    <row r="46" ht="15.75" customHeight="1">
      <c r="F46" s="1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82"/>
      <c r="V46" s="82"/>
      <c r="W46" s="82"/>
      <c r="X46" s="82"/>
      <c r="Y46" s="82"/>
      <c r="Z46" s="82"/>
    </row>
    <row r="47" ht="15.75" customHeight="1">
      <c r="F47" s="1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82"/>
      <c r="V47" s="82"/>
      <c r="W47" s="82"/>
      <c r="X47" s="82"/>
      <c r="Y47" s="82"/>
      <c r="Z47" s="82"/>
    </row>
    <row r="48" ht="15.75" customHeight="1">
      <c r="F48" s="1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82"/>
      <c r="V48" s="82"/>
      <c r="W48" s="82"/>
      <c r="X48" s="82"/>
      <c r="Y48" s="82"/>
      <c r="Z48" s="82"/>
    </row>
    <row r="49" ht="15.75" customHeight="1">
      <c r="F49" s="1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82"/>
      <c r="V49" s="82"/>
      <c r="W49" s="82"/>
      <c r="X49" s="82"/>
      <c r="Y49" s="82"/>
      <c r="Z49" s="82"/>
    </row>
    <row r="50" ht="15.75" customHeight="1">
      <c r="F50" s="1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82"/>
      <c r="V50" s="82"/>
      <c r="W50" s="82"/>
      <c r="X50" s="82"/>
      <c r="Y50" s="82"/>
      <c r="Z50" s="82"/>
    </row>
    <row r="51" ht="15.75" customHeight="1">
      <c r="F51" s="1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82"/>
      <c r="V51" s="82"/>
      <c r="W51" s="82"/>
      <c r="X51" s="82"/>
      <c r="Y51" s="82"/>
      <c r="Z51" s="82"/>
    </row>
    <row r="52" ht="15.75" customHeight="1">
      <c r="F52" s="1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82"/>
      <c r="V52" s="82"/>
      <c r="W52" s="82"/>
      <c r="X52" s="82"/>
      <c r="Y52" s="82"/>
      <c r="Z52" s="82"/>
    </row>
    <row r="53" ht="15.75" customHeight="1">
      <c r="F53" s="1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82"/>
      <c r="V53" s="82"/>
      <c r="W53" s="82"/>
      <c r="X53" s="82"/>
      <c r="Y53" s="82"/>
      <c r="Z53" s="82"/>
    </row>
    <row r="54" ht="15.75" customHeight="1">
      <c r="F54" s="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82"/>
      <c r="V54" s="82"/>
      <c r="W54" s="82"/>
      <c r="X54" s="82"/>
      <c r="Y54" s="82"/>
      <c r="Z54" s="82"/>
    </row>
    <row r="55" ht="15.75" customHeight="1">
      <c r="F55" s="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82"/>
      <c r="V55" s="82"/>
      <c r="W55" s="82"/>
      <c r="X55" s="82"/>
      <c r="Y55" s="82"/>
      <c r="Z55" s="82"/>
    </row>
    <row r="56" ht="15.75" customHeight="1">
      <c r="F56" s="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82"/>
      <c r="V56" s="82"/>
      <c r="W56" s="82"/>
      <c r="X56" s="82"/>
      <c r="Y56" s="82"/>
      <c r="Z56" s="82"/>
    </row>
    <row r="57" ht="15.75" customHeight="1">
      <c r="F57" s="1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82"/>
      <c r="V57" s="82"/>
      <c r="W57" s="82"/>
      <c r="X57" s="82"/>
      <c r="Y57" s="82"/>
      <c r="Z57" s="82"/>
    </row>
    <row r="58" ht="15.75" customHeight="1">
      <c r="F58" s="1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82"/>
      <c r="V58" s="82"/>
      <c r="W58" s="82"/>
      <c r="X58" s="82"/>
      <c r="Y58" s="82"/>
      <c r="Z58" s="82"/>
    </row>
    <row r="59" ht="15.75" customHeight="1">
      <c r="F59" s="1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82"/>
      <c r="V59" s="82"/>
      <c r="W59" s="82"/>
      <c r="X59" s="82"/>
      <c r="Y59" s="82"/>
      <c r="Z59" s="82"/>
    </row>
    <row r="60" ht="15.75" customHeight="1">
      <c r="F60" s="1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82"/>
      <c r="V60" s="82"/>
      <c r="W60" s="82"/>
      <c r="X60" s="82"/>
      <c r="Y60" s="82"/>
      <c r="Z60" s="82"/>
    </row>
    <row r="61" ht="15.75" customHeight="1">
      <c r="F61" s="1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82"/>
      <c r="V61" s="82"/>
      <c r="W61" s="82"/>
      <c r="X61" s="82"/>
      <c r="Y61" s="82"/>
      <c r="Z61" s="82"/>
    </row>
    <row r="62" ht="15.75" customHeight="1">
      <c r="F62" s="1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82"/>
      <c r="V62" s="82"/>
      <c r="W62" s="82"/>
      <c r="X62" s="82"/>
      <c r="Y62" s="82"/>
      <c r="Z62" s="82"/>
    </row>
    <row r="63" ht="15.75" customHeight="1">
      <c r="F63" s="1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82"/>
      <c r="V63" s="82"/>
      <c r="W63" s="82"/>
      <c r="X63" s="82"/>
      <c r="Y63" s="82"/>
      <c r="Z63" s="82"/>
    </row>
    <row r="64" ht="15.75" customHeight="1"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82"/>
      <c r="V64" s="82"/>
      <c r="W64" s="82"/>
      <c r="X64" s="82"/>
      <c r="Y64" s="82"/>
      <c r="Z64" s="82"/>
    </row>
    <row r="65" ht="15.75" customHeight="1"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82"/>
      <c r="V65" s="82"/>
      <c r="W65" s="82"/>
      <c r="X65" s="82"/>
      <c r="Y65" s="82"/>
      <c r="Z65" s="82"/>
    </row>
    <row r="66" ht="15.75" customHeight="1">
      <c r="F66" s="1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82"/>
      <c r="V66" s="82"/>
      <c r="W66" s="82"/>
      <c r="X66" s="82"/>
      <c r="Y66" s="82"/>
      <c r="Z66" s="82"/>
    </row>
    <row r="67" ht="15.75" customHeight="1"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82"/>
      <c r="V67" s="82"/>
      <c r="W67" s="82"/>
      <c r="X67" s="82"/>
      <c r="Y67" s="82"/>
      <c r="Z67" s="82"/>
    </row>
    <row r="68" ht="15.75" customHeight="1"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82"/>
      <c r="V68" s="82"/>
      <c r="W68" s="82"/>
      <c r="X68" s="82"/>
      <c r="Y68" s="82"/>
      <c r="Z68" s="82"/>
    </row>
    <row r="69" ht="15.75" customHeight="1"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82"/>
      <c r="V69" s="82"/>
      <c r="W69" s="82"/>
      <c r="X69" s="82"/>
      <c r="Y69" s="82"/>
      <c r="Z69" s="82"/>
    </row>
    <row r="70" ht="15.75" customHeight="1">
      <c r="F70" s="1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82"/>
      <c r="V70" s="82"/>
      <c r="W70" s="82"/>
      <c r="X70" s="82"/>
      <c r="Y70" s="82"/>
      <c r="Z70" s="82"/>
    </row>
    <row r="71" ht="15.75" customHeight="1"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82"/>
      <c r="V71" s="82"/>
      <c r="W71" s="82"/>
      <c r="X71" s="82"/>
      <c r="Y71" s="82"/>
      <c r="Z71" s="82"/>
    </row>
    <row r="72" ht="15.75" customHeight="1"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82"/>
      <c r="V72" s="82"/>
      <c r="W72" s="82"/>
      <c r="X72" s="82"/>
      <c r="Y72" s="82"/>
      <c r="Z72" s="82"/>
    </row>
    <row r="73" ht="15.75" customHeight="1"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82"/>
      <c r="V73" s="82"/>
      <c r="W73" s="82"/>
      <c r="X73" s="82"/>
      <c r="Y73" s="82"/>
      <c r="Z73" s="82"/>
    </row>
    <row r="74" ht="15.75" customHeight="1"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82"/>
      <c r="V74" s="82"/>
      <c r="W74" s="82"/>
      <c r="X74" s="82"/>
      <c r="Y74" s="82"/>
      <c r="Z74" s="82"/>
    </row>
    <row r="75" ht="15.75" customHeight="1"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82"/>
      <c r="V75" s="82"/>
      <c r="W75" s="82"/>
      <c r="X75" s="82"/>
      <c r="Y75" s="82"/>
      <c r="Z75" s="82"/>
    </row>
    <row r="76" ht="15.75" customHeight="1">
      <c r="F76" s="1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82"/>
      <c r="V76" s="82"/>
      <c r="W76" s="82"/>
      <c r="X76" s="82"/>
      <c r="Y76" s="82"/>
      <c r="Z76" s="82"/>
    </row>
    <row r="77" ht="15.75" customHeight="1">
      <c r="F77" s="1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82"/>
      <c r="V77" s="82"/>
      <c r="W77" s="82"/>
      <c r="X77" s="82"/>
      <c r="Y77" s="82"/>
      <c r="Z77" s="82"/>
    </row>
    <row r="78" ht="15.75" customHeight="1">
      <c r="F78" s="1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82"/>
      <c r="V78" s="82"/>
      <c r="W78" s="82"/>
      <c r="X78" s="82"/>
      <c r="Y78" s="82"/>
      <c r="Z78" s="82"/>
    </row>
    <row r="79" ht="15.75" customHeight="1">
      <c r="F79" s="1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82"/>
      <c r="V79" s="82"/>
      <c r="W79" s="82"/>
      <c r="X79" s="82"/>
      <c r="Y79" s="82"/>
      <c r="Z79" s="82"/>
    </row>
    <row r="80" ht="15.75" customHeight="1">
      <c r="F80" s="1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82"/>
      <c r="V80" s="82"/>
      <c r="W80" s="82"/>
      <c r="X80" s="82"/>
      <c r="Y80" s="82"/>
      <c r="Z80" s="82"/>
    </row>
    <row r="81" ht="15.75" customHeight="1">
      <c r="F81" s="1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82"/>
      <c r="V81" s="82"/>
      <c r="W81" s="82"/>
      <c r="X81" s="82"/>
      <c r="Y81" s="82"/>
      <c r="Z81" s="82"/>
    </row>
    <row r="82" ht="15.75" customHeight="1">
      <c r="F82" s="1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82"/>
      <c r="V82" s="82"/>
      <c r="W82" s="82"/>
      <c r="X82" s="82"/>
      <c r="Y82" s="82"/>
      <c r="Z82" s="82"/>
    </row>
    <row r="83" ht="15.75" customHeight="1">
      <c r="F83" s="1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82"/>
      <c r="V83" s="82"/>
      <c r="W83" s="82"/>
      <c r="X83" s="82"/>
      <c r="Y83" s="82"/>
      <c r="Z83" s="82"/>
    </row>
    <row r="84" ht="15.75" customHeight="1">
      <c r="F84" s="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82"/>
      <c r="V84" s="82"/>
      <c r="W84" s="82"/>
      <c r="X84" s="82"/>
      <c r="Y84" s="82"/>
      <c r="Z84" s="82"/>
    </row>
    <row r="85" ht="15.75" customHeight="1">
      <c r="F85" s="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82"/>
      <c r="V85" s="82"/>
      <c r="W85" s="82"/>
      <c r="X85" s="82"/>
      <c r="Y85" s="82"/>
      <c r="Z85" s="82"/>
    </row>
    <row r="86" ht="15.75" customHeight="1">
      <c r="F86" s="1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82"/>
      <c r="V86" s="82"/>
      <c r="W86" s="82"/>
      <c r="X86" s="82"/>
      <c r="Y86" s="82"/>
      <c r="Z86" s="82"/>
    </row>
    <row r="87" ht="15.75" customHeight="1">
      <c r="F87" s="1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82"/>
      <c r="V87" s="82"/>
      <c r="W87" s="82"/>
      <c r="X87" s="82"/>
      <c r="Y87" s="82"/>
      <c r="Z87" s="82"/>
    </row>
    <row r="88" ht="15.75" customHeight="1">
      <c r="F88" s="1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82"/>
      <c r="V88" s="82"/>
      <c r="W88" s="82"/>
      <c r="X88" s="82"/>
      <c r="Y88" s="82"/>
      <c r="Z88" s="82"/>
    </row>
    <row r="89" ht="15.75" customHeight="1">
      <c r="F89" s="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82"/>
      <c r="V89" s="82"/>
      <c r="W89" s="82"/>
      <c r="X89" s="82"/>
      <c r="Y89" s="82"/>
      <c r="Z89" s="82"/>
    </row>
    <row r="90" ht="15.75" customHeight="1">
      <c r="F90" s="1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82"/>
      <c r="V90" s="82"/>
      <c r="W90" s="82"/>
      <c r="X90" s="82"/>
      <c r="Y90" s="82"/>
      <c r="Z90" s="82"/>
    </row>
    <row r="91" ht="15.75" customHeight="1">
      <c r="F91" s="1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82"/>
      <c r="V91" s="82"/>
      <c r="W91" s="82"/>
      <c r="X91" s="82"/>
      <c r="Y91" s="82"/>
      <c r="Z91" s="82"/>
    </row>
    <row r="92" ht="15.75" customHeight="1">
      <c r="F92" s="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82"/>
      <c r="V92" s="82"/>
      <c r="W92" s="82"/>
      <c r="X92" s="82"/>
      <c r="Y92" s="82"/>
      <c r="Z92" s="82"/>
    </row>
    <row r="93" ht="15.75" customHeight="1">
      <c r="F93" s="1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82"/>
      <c r="V93" s="82"/>
      <c r="W93" s="82"/>
      <c r="X93" s="82"/>
      <c r="Y93" s="82"/>
      <c r="Z93" s="82"/>
    </row>
    <row r="94" ht="15.75" customHeight="1">
      <c r="F94" s="1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82"/>
      <c r="V94" s="82"/>
      <c r="W94" s="82"/>
      <c r="X94" s="82"/>
      <c r="Y94" s="82"/>
      <c r="Z94" s="82"/>
    </row>
    <row r="95" ht="15.75" customHeight="1">
      <c r="F95" s="1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82"/>
      <c r="V95" s="82"/>
      <c r="W95" s="82"/>
      <c r="X95" s="82"/>
      <c r="Y95" s="82"/>
      <c r="Z95" s="82"/>
    </row>
    <row r="96" ht="15.75" customHeight="1">
      <c r="F96" s="1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82"/>
      <c r="V96" s="82"/>
      <c r="W96" s="82"/>
      <c r="X96" s="82"/>
      <c r="Y96" s="82"/>
      <c r="Z96" s="82"/>
    </row>
    <row r="97" ht="15.75" customHeight="1">
      <c r="F97" s="1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82"/>
      <c r="V97" s="82"/>
      <c r="W97" s="82"/>
      <c r="X97" s="82"/>
      <c r="Y97" s="82"/>
      <c r="Z97" s="82"/>
    </row>
    <row r="98" ht="15.75" customHeight="1">
      <c r="F98" s="1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82"/>
      <c r="V98" s="82"/>
      <c r="W98" s="82"/>
      <c r="X98" s="82"/>
      <c r="Y98" s="82"/>
      <c r="Z98" s="82"/>
    </row>
    <row r="99" ht="15.75" customHeight="1">
      <c r="F99" s="1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82"/>
      <c r="V99" s="82"/>
      <c r="W99" s="82"/>
      <c r="X99" s="82"/>
      <c r="Y99" s="82"/>
      <c r="Z99" s="82"/>
    </row>
    <row r="100" ht="15.75" customHeight="1">
      <c r="F100" s="1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82"/>
      <c r="V100" s="82"/>
      <c r="W100" s="82"/>
      <c r="X100" s="82"/>
      <c r="Y100" s="82"/>
      <c r="Z100" s="82"/>
    </row>
    <row r="101" ht="15.75" customHeight="1">
      <c r="F101" s="1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82"/>
      <c r="V101" s="82"/>
      <c r="W101" s="82"/>
      <c r="X101" s="82"/>
      <c r="Y101" s="82"/>
      <c r="Z101" s="82"/>
    </row>
    <row r="102" ht="15.75" customHeight="1">
      <c r="F102" s="1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82"/>
      <c r="V102" s="82"/>
      <c r="W102" s="82"/>
      <c r="X102" s="82"/>
      <c r="Y102" s="82"/>
      <c r="Z102" s="82"/>
    </row>
    <row r="103" ht="15.75" customHeight="1">
      <c r="F103" s="1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82"/>
      <c r="V103" s="82"/>
      <c r="W103" s="82"/>
      <c r="X103" s="82"/>
      <c r="Y103" s="82"/>
      <c r="Z103" s="82"/>
    </row>
    <row r="104" ht="15.75" customHeight="1">
      <c r="F104" s="1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82"/>
      <c r="V104" s="82"/>
      <c r="W104" s="82"/>
      <c r="X104" s="82"/>
      <c r="Y104" s="82"/>
      <c r="Z104" s="82"/>
    </row>
    <row r="105" ht="15.75" customHeight="1">
      <c r="F105" s="1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82"/>
      <c r="V105" s="82"/>
      <c r="W105" s="82"/>
      <c r="X105" s="82"/>
      <c r="Y105" s="82"/>
      <c r="Z105" s="82"/>
    </row>
    <row r="106" ht="15.75" customHeight="1">
      <c r="F106" s="1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82"/>
      <c r="V106" s="82"/>
      <c r="W106" s="82"/>
      <c r="X106" s="82"/>
      <c r="Y106" s="82"/>
      <c r="Z106" s="82"/>
    </row>
    <row r="107" ht="15.75" customHeight="1">
      <c r="F107" s="1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82"/>
      <c r="V107" s="82"/>
      <c r="W107" s="82"/>
      <c r="X107" s="82"/>
      <c r="Y107" s="82"/>
      <c r="Z107" s="82"/>
    </row>
    <row r="108" ht="15.75" customHeight="1">
      <c r="F108" s="1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82"/>
      <c r="V108" s="82"/>
      <c r="W108" s="82"/>
      <c r="X108" s="82"/>
      <c r="Y108" s="82"/>
      <c r="Z108" s="82"/>
    </row>
    <row r="109" ht="15.75" customHeight="1">
      <c r="F109" s="1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82"/>
      <c r="V109" s="82"/>
      <c r="W109" s="82"/>
      <c r="X109" s="82"/>
      <c r="Y109" s="82"/>
      <c r="Z109" s="82"/>
    </row>
    <row r="110" ht="15.75" customHeight="1">
      <c r="F110" s="1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82"/>
      <c r="V110" s="82"/>
      <c r="W110" s="82"/>
      <c r="X110" s="82"/>
      <c r="Y110" s="82"/>
      <c r="Z110" s="82"/>
    </row>
    <row r="111" ht="15.75" customHeight="1">
      <c r="F111" s="1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82"/>
      <c r="V111" s="82"/>
      <c r="W111" s="82"/>
      <c r="X111" s="82"/>
      <c r="Y111" s="82"/>
      <c r="Z111" s="82"/>
    </row>
    <row r="112" ht="15.75" customHeight="1">
      <c r="F112" s="1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82"/>
      <c r="V112" s="82"/>
      <c r="W112" s="82"/>
      <c r="X112" s="82"/>
      <c r="Y112" s="82"/>
      <c r="Z112" s="82"/>
    </row>
    <row r="113" ht="15.75" customHeight="1">
      <c r="F113" s="1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82"/>
      <c r="V113" s="82"/>
      <c r="W113" s="82"/>
      <c r="X113" s="82"/>
      <c r="Y113" s="82"/>
      <c r="Z113" s="82"/>
    </row>
    <row r="114" ht="15.75" customHeight="1">
      <c r="F114" s="1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82"/>
      <c r="V114" s="82"/>
      <c r="W114" s="82"/>
      <c r="X114" s="82"/>
      <c r="Y114" s="82"/>
      <c r="Z114" s="82"/>
    </row>
    <row r="115" ht="15.75" customHeight="1">
      <c r="F115" s="1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82"/>
      <c r="V115" s="82"/>
      <c r="W115" s="82"/>
      <c r="X115" s="82"/>
      <c r="Y115" s="82"/>
      <c r="Z115" s="82"/>
    </row>
    <row r="116" ht="15.75" customHeight="1">
      <c r="F116" s="1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82"/>
      <c r="V116" s="82"/>
      <c r="W116" s="82"/>
      <c r="X116" s="82"/>
      <c r="Y116" s="82"/>
      <c r="Z116" s="82"/>
    </row>
    <row r="117" ht="15.75" customHeight="1">
      <c r="F117" s="1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82"/>
      <c r="V117" s="82"/>
      <c r="W117" s="82"/>
      <c r="X117" s="82"/>
      <c r="Y117" s="82"/>
      <c r="Z117" s="82"/>
    </row>
    <row r="118" ht="15.75" customHeight="1">
      <c r="F118" s="1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82"/>
      <c r="V118" s="82"/>
      <c r="W118" s="82"/>
      <c r="X118" s="82"/>
      <c r="Y118" s="82"/>
      <c r="Z118" s="82"/>
    </row>
    <row r="119" ht="15.75" customHeight="1">
      <c r="F119" s="1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82"/>
      <c r="V119" s="82"/>
      <c r="W119" s="82"/>
      <c r="X119" s="82"/>
      <c r="Y119" s="82"/>
      <c r="Z119" s="82"/>
    </row>
    <row r="120" ht="15.75" customHeight="1">
      <c r="F120" s="1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82"/>
      <c r="V120" s="82"/>
      <c r="W120" s="82"/>
      <c r="X120" s="82"/>
      <c r="Y120" s="82"/>
      <c r="Z120" s="82"/>
    </row>
    <row r="121" ht="15.75" customHeight="1">
      <c r="F121" s="1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82"/>
      <c r="V121" s="82"/>
      <c r="W121" s="82"/>
      <c r="X121" s="82"/>
      <c r="Y121" s="82"/>
      <c r="Z121" s="82"/>
    </row>
    <row r="122" ht="15.75" customHeight="1">
      <c r="F122" s="1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82"/>
      <c r="V122" s="82"/>
      <c r="W122" s="82"/>
      <c r="X122" s="82"/>
      <c r="Y122" s="82"/>
      <c r="Z122" s="82"/>
    </row>
    <row r="123" ht="15.75" customHeight="1">
      <c r="F123" s="1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82"/>
      <c r="V123" s="82"/>
      <c r="W123" s="82"/>
      <c r="X123" s="82"/>
      <c r="Y123" s="82"/>
      <c r="Z123" s="82"/>
    </row>
    <row r="124" ht="15.75" customHeight="1">
      <c r="F124" s="1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82"/>
      <c r="V124" s="82"/>
      <c r="W124" s="82"/>
      <c r="X124" s="82"/>
      <c r="Y124" s="82"/>
      <c r="Z124" s="82"/>
    </row>
    <row r="125" ht="15.75" customHeight="1">
      <c r="F125" s="1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82"/>
      <c r="V125" s="82"/>
      <c r="W125" s="82"/>
      <c r="X125" s="82"/>
      <c r="Y125" s="82"/>
      <c r="Z125" s="82"/>
    </row>
    <row r="126" ht="15.75" customHeight="1">
      <c r="F126" s="1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82"/>
      <c r="V126" s="82"/>
      <c r="W126" s="82"/>
      <c r="X126" s="82"/>
      <c r="Y126" s="82"/>
      <c r="Z126" s="82"/>
    </row>
    <row r="127" ht="15.75" customHeight="1">
      <c r="F127" s="1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82"/>
      <c r="V127" s="82"/>
      <c r="W127" s="82"/>
      <c r="X127" s="82"/>
      <c r="Y127" s="82"/>
      <c r="Z127" s="82"/>
    </row>
    <row r="128" ht="15.75" customHeight="1">
      <c r="F128" s="1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82"/>
      <c r="V128" s="82"/>
      <c r="W128" s="82"/>
      <c r="X128" s="82"/>
      <c r="Y128" s="82"/>
      <c r="Z128" s="82"/>
    </row>
    <row r="129" ht="15.75" customHeight="1">
      <c r="F129" s="1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82"/>
      <c r="V129" s="82"/>
      <c r="W129" s="82"/>
      <c r="X129" s="82"/>
      <c r="Y129" s="82"/>
      <c r="Z129" s="82"/>
    </row>
    <row r="130" ht="15.75" customHeight="1">
      <c r="F130" s="1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82"/>
      <c r="V130" s="82"/>
      <c r="W130" s="82"/>
      <c r="X130" s="82"/>
      <c r="Y130" s="82"/>
      <c r="Z130" s="82"/>
    </row>
    <row r="131" ht="15.75" customHeight="1">
      <c r="F131" s="1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82"/>
      <c r="V131" s="82"/>
      <c r="W131" s="82"/>
      <c r="X131" s="82"/>
      <c r="Y131" s="82"/>
      <c r="Z131" s="82"/>
    </row>
    <row r="132" ht="15.75" customHeight="1">
      <c r="F132" s="1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82"/>
      <c r="V132" s="82"/>
      <c r="W132" s="82"/>
      <c r="X132" s="82"/>
      <c r="Y132" s="82"/>
      <c r="Z132" s="82"/>
    </row>
    <row r="133" ht="15.75" customHeight="1">
      <c r="F133" s="1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82"/>
      <c r="V133" s="82"/>
      <c r="W133" s="82"/>
      <c r="X133" s="82"/>
      <c r="Y133" s="82"/>
      <c r="Z133" s="82"/>
    </row>
    <row r="134" ht="15.75" customHeight="1">
      <c r="F134" s="1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82"/>
      <c r="V134" s="82"/>
      <c r="W134" s="82"/>
      <c r="X134" s="82"/>
      <c r="Y134" s="82"/>
      <c r="Z134" s="82"/>
    </row>
    <row r="135" ht="15.75" customHeight="1">
      <c r="F135" s="1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82"/>
      <c r="V135" s="82"/>
      <c r="W135" s="82"/>
      <c r="X135" s="82"/>
      <c r="Y135" s="82"/>
      <c r="Z135" s="82"/>
    </row>
    <row r="136" ht="15.75" customHeight="1">
      <c r="F136" s="1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82"/>
      <c r="V136" s="82"/>
      <c r="W136" s="82"/>
      <c r="X136" s="82"/>
      <c r="Y136" s="82"/>
      <c r="Z136" s="82"/>
    </row>
    <row r="137" ht="15.75" customHeight="1">
      <c r="F137" s="1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82"/>
      <c r="V137" s="82"/>
      <c r="W137" s="82"/>
      <c r="X137" s="82"/>
      <c r="Y137" s="82"/>
      <c r="Z137" s="82"/>
    </row>
    <row r="138" ht="15.75" customHeight="1">
      <c r="F138" s="1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82"/>
      <c r="V138" s="82"/>
      <c r="W138" s="82"/>
      <c r="X138" s="82"/>
      <c r="Y138" s="82"/>
      <c r="Z138" s="82"/>
    </row>
    <row r="139" ht="15.75" customHeight="1">
      <c r="F139" s="1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82"/>
      <c r="V139" s="82"/>
      <c r="W139" s="82"/>
      <c r="X139" s="82"/>
      <c r="Y139" s="82"/>
      <c r="Z139" s="82"/>
    </row>
    <row r="140" ht="15.75" customHeight="1">
      <c r="F140" s="1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82"/>
      <c r="V140" s="82"/>
      <c r="W140" s="82"/>
      <c r="X140" s="82"/>
      <c r="Y140" s="82"/>
      <c r="Z140" s="82"/>
    </row>
    <row r="141" ht="15.75" customHeight="1">
      <c r="F141" s="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82"/>
      <c r="V141" s="82"/>
      <c r="W141" s="82"/>
      <c r="X141" s="82"/>
      <c r="Y141" s="82"/>
      <c r="Z141" s="82"/>
    </row>
    <row r="142" ht="15.75" customHeight="1">
      <c r="F142" s="1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82"/>
      <c r="V142" s="82"/>
      <c r="W142" s="82"/>
      <c r="X142" s="82"/>
      <c r="Y142" s="82"/>
      <c r="Z142" s="82"/>
    </row>
    <row r="143" ht="15.75" customHeight="1">
      <c r="F143" s="1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82"/>
      <c r="V143" s="82"/>
      <c r="W143" s="82"/>
      <c r="X143" s="82"/>
      <c r="Y143" s="82"/>
      <c r="Z143" s="82"/>
    </row>
    <row r="144" ht="15.75" customHeight="1">
      <c r="F144" s="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82"/>
      <c r="V144" s="82"/>
      <c r="W144" s="82"/>
      <c r="X144" s="82"/>
      <c r="Y144" s="82"/>
      <c r="Z144" s="82"/>
    </row>
    <row r="145" ht="15.75" customHeight="1">
      <c r="F145" s="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82"/>
      <c r="V145" s="82"/>
      <c r="W145" s="82"/>
      <c r="X145" s="82"/>
      <c r="Y145" s="82"/>
      <c r="Z145" s="82"/>
    </row>
    <row r="146" ht="15.75" customHeight="1">
      <c r="F146" s="1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82"/>
      <c r="V146" s="82"/>
      <c r="W146" s="82"/>
      <c r="X146" s="82"/>
      <c r="Y146" s="82"/>
      <c r="Z146" s="82"/>
    </row>
    <row r="147" ht="15.75" customHeight="1">
      <c r="F147" s="1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82"/>
      <c r="V147" s="82"/>
      <c r="W147" s="82"/>
      <c r="X147" s="82"/>
      <c r="Y147" s="82"/>
      <c r="Z147" s="82"/>
    </row>
    <row r="148" ht="15.75" customHeight="1">
      <c r="F148" s="1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82"/>
      <c r="V148" s="82"/>
      <c r="W148" s="82"/>
      <c r="X148" s="82"/>
      <c r="Y148" s="82"/>
      <c r="Z148" s="82"/>
    </row>
    <row r="149" ht="15.75" customHeight="1">
      <c r="F149" s="1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82"/>
      <c r="V149" s="82"/>
      <c r="W149" s="82"/>
      <c r="X149" s="82"/>
      <c r="Y149" s="82"/>
      <c r="Z149" s="82"/>
    </row>
    <row r="150" ht="15.75" customHeight="1">
      <c r="F150" s="1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82"/>
      <c r="V150" s="82"/>
      <c r="W150" s="82"/>
      <c r="X150" s="82"/>
      <c r="Y150" s="82"/>
      <c r="Z150" s="82"/>
    </row>
    <row r="151" ht="15.75" customHeight="1">
      <c r="F151" s="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82"/>
      <c r="V151" s="82"/>
      <c r="W151" s="82"/>
      <c r="X151" s="82"/>
      <c r="Y151" s="82"/>
      <c r="Z151" s="82"/>
    </row>
    <row r="152" ht="15.75" customHeight="1">
      <c r="F152" s="1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82"/>
      <c r="V152" s="82"/>
      <c r="W152" s="82"/>
      <c r="X152" s="82"/>
      <c r="Y152" s="82"/>
      <c r="Z152" s="82"/>
    </row>
    <row r="153" ht="15.75" customHeight="1">
      <c r="F153" s="1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82"/>
      <c r="V153" s="82"/>
      <c r="W153" s="82"/>
      <c r="X153" s="82"/>
      <c r="Y153" s="82"/>
      <c r="Z153" s="82"/>
    </row>
    <row r="154" ht="15.75" customHeight="1">
      <c r="F154" s="1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82"/>
      <c r="V154" s="82"/>
      <c r="W154" s="82"/>
      <c r="X154" s="82"/>
      <c r="Y154" s="82"/>
      <c r="Z154" s="82"/>
    </row>
    <row r="155" ht="15.75" customHeight="1">
      <c r="F155" s="1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82"/>
      <c r="V155" s="82"/>
      <c r="W155" s="82"/>
      <c r="X155" s="82"/>
      <c r="Y155" s="82"/>
      <c r="Z155" s="82"/>
    </row>
    <row r="156" ht="15.75" customHeight="1">
      <c r="F156" s="1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82"/>
      <c r="V156" s="82"/>
      <c r="W156" s="82"/>
      <c r="X156" s="82"/>
      <c r="Y156" s="82"/>
      <c r="Z156" s="82"/>
    </row>
    <row r="157" ht="15.75" customHeight="1">
      <c r="F157" s="1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82"/>
      <c r="V157" s="82"/>
      <c r="W157" s="82"/>
      <c r="X157" s="82"/>
      <c r="Y157" s="82"/>
      <c r="Z157" s="82"/>
    </row>
    <row r="158" ht="15.75" customHeight="1">
      <c r="F158" s="1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82"/>
      <c r="V158" s="82"/>
      <c r="W158" s="82"/>
      <c r="X158" s="82"/>
      <c r="Y158" s="82"/>
      <c r="Z158" s="82"/>
    </row>
    <row r="159" ht="15.75" customHeight="1">
      <c r="F159" s="1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82"/>
      <c r="V159" s="82"/>
      <c r="W159" s="82"/>
      <c r="X159" s="82"/>
      <c r="Y159" s="82"/>
      <c r="Z159" s="82"/>
    </row>
    <row r="160" ht="15.75" customHeight="1">
      <c r="F160" s="1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82"/>
      <c r="V160" s="82"/>
      <c r="W160" s="82"/>
      <c r="X160" s="82"/>
      <c r="Y160" s="82"/>
      <c r="Z160" s="82"/>
    </row>
    <row r="161" ht="15.75" customHeight="1">
      <c r="F161" s="1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82"/>
      <c r="V161" s="82"/>
      <c r="W161" s="82"/>
      <c r="X161" s="82"/>
      <c r="Y161" s="82"/>
      <c r="Z161" s="82"/>
    </row>
    <row r="162" ht="15.75" customHeight="1">
      <c r="F162" s="1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82"/>
      <c r="V162" s="82"/>
      <c r="W162" s="82"/>
      <c r="X162" s="82"/>
      <c r="Y162" s="82"/>
      <c r="Z162" s="82"/>
    </row>
    <row r="163" ht="15.75" customHeight="1">
      <c r="F163" s="1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82"/>
      <c r="V163" s="82"/>
      <c r="W163" s="82"/>
      <c r="X163" s="82"/>
      <c r="Y163" s="82"/>
      <c r="Z163" s="82"/>
    </row>
    <row r="164" ht="15.75" customHeight="1">
      <c r="F164" s="1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82"/>
      <c r="V164" s="82"/>
      <c r="W164" s="82"/>
      <c r="X164" s="82"/>
      <c r="Y164" s="82"/>
      <c r="Z164" s="82"/>
    </row>
    <row r="165" ht="15.75" customHeight="1">
      <c r="F165" s="1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82"/>
      <c r="V165" s="82"/>
      <c r="W165" s="82"/>
      <c r="X165" s="82"/>
      <c r="Y165" s="82"/>
      <c r="Z165" s="82"/>
    </row>
    <row r="166" ht="15.75" customHeight="1"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82"/>
      <c r="V166" s="82"/>
      <c r="W166" s="82"/>
      <c r="X166" s="82"/>
      <c r="Y166" s="82"/>
      <c r="Z166" s="82"/>
    </row>
    <row r="167" ht="15.75" customHeight="1"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82"/>
      <c r="V167" s="82"/>
      <c r="W167" s="82"/>
      <c r="X167" s="82"/>
      <c r="Y167" s="82"/>
      <c r="Z167" s="82"/>
    </row>
    <row r="168" ht="15.75" customHeight="1">
      <c r="F168" s="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82"/>
      <c r="V168" s="82"/>
      <c r="W168" s="82"/>
      <c r="X168" s="82"/>
      <c r="Y168" s="82"/>
      <c r="Z168" s="82"/>
    </row>
    <row r="169" ht="15.75" customHeight="1"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82"/>
      <c r="V169" s="82"/>
      <c r="W169" s="82"/>
      <c r="X169" s="82"/>
      <c r="Y169" s="82"/>
      <c r="Z169" s="82"/>
    </row>
    <row r="170" ht="15.75" customHeight="1"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82"/>
      <c r="V170" s="82"/>
      <c r="W170" s="82"/>
      <c r="X170" s="82"/>
      <c r="Y170" s="82"/>
      <c r="Z170" s="82"/>
    </row>
    <row r="171" ht="15.75" customHeight="1">
      <c r="F171" s="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82"/>
      <c r="V171" s="82"/>
      <c r="W171" s="82"/>
      <c r="X171" s="82"/>
      <c r="Y171" s="82"/>
      <c r="Z171" s="82"/>
    </row>
    <row r="172" ht="15.75" customHeight="1">
      <c r="F172" s="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82"/>
      <c r="V172" s="82"/>
      <c r="W172" s="82"/>
      <c r="X172" s="82"/>
      <c r="Y172" s="82"/>
      <c r="Z172" s="82"/>
    </row>
    <row r="173" ht="15.75" customHeight="1"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82"/>
      <c r="V173" s="82"/>
      <c r="W173" s="82"/>
      <c r="X173" s="82"/>
      <c r="Y173" s="82"/>
      <c r="Z173" s="82"/>
    </row>
    <row r="174" ht="15.75" customHeight="1"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82"/>
      <c r="V174" s="82"/>
      <c r="W174" s="82"/>
      <c r="X174" s="82"/>
      <c r="Y174" s="82"/>
      <c r="Z174" s="82"/>
    </row>
    <row r="175" ht="15.75" customHeight="1">
      <c r="F175" s="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82"/>
      <c r="V175" s="82"/>
      <c r="W175" s="82"/>
      <c r="X175" s="82"/>
      <c r="Y175" s="82"/>
      <c r="Z175" s="82"/>
    </row>
    <row r="176" ht="15.75" customHeight="1"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82"/>
      <c r="V176" s="82"/>
      <c r="W176" s="82"/>
      <c r="X176" s="82"/>
      <c r="Y176" s="82"/>
      <c r="Z176" s="82"/>
    </row>
    <row r="177" ht="15.75" customHeight="1"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82"/>
      <c r="V177" s="82"/>
      <c r="W177" s="82"/>
      <c r="X177" s="82"/>
      <c r="Y177" s="82"/>
      <c r="Z177" s="82"/>
    </row>
    <row r="178" ht="15.75" customHeight="1">
      <c r="F178" s="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82"/>
      <c r="V178" s="82"/>
      <c r="W178" s="82"/>
      <c r="X178" s="82"/>
      <c r="Y178" s="82"/>
      <c r="Z178" s="82"/>
    </row>
    <row r="179" ht="15.75" customHeight="1">
      <c r="F179" s="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82"/>
      <c r="V179" s="82"/>
      <c r="W179" s="82"/>
      <c r="X179" s="82"/>
      <c r="Y179" s="82"/>
      <c r="Z179" s="82"/>
    </row>
    <row r="180" ht="15.75" customHeight="1"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82"/>
      <c r="V180" s="82"/>
      <c r="W180" s="82"/>
      <c r="X180" s="82"/>
      <c r="Y180" s="82"/>
      <c r="Z180" s="82"/>
    </row>
    <row r="181" ht="15.75" customHeight="1"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82"/>
      <c r="V181" s="82"/>
      <c r="W181" s="82"/>
      <c r="X181" s="82"/>
      <c r="Y181" s="82"/>
      <c r="Z181" s="82"/>
    </row>
    <row r="182" ht="15.75" customHeight="1">
      <c r="F182" s="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82"/>
      <c r="V182" s="82"/>
      <c r="W182" s="82"/>
      <c r="X182" s="82"/>
      <c r="Y182" s="82"/>
      <c r="Z182" s="82"/>
    </row>
    <row r="183" ht="15.75" customHeight="1">
      <c r="F183" s="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82"/>
      <c r="V183" s="82"/>
      <c r="W183" s="82"/>
      <c r="X183" s="82"/>
      <c r="Y183" s="82"/>
      <c r="Z183" s="82"/>
    </row>
    <row r="184" ht="15.75" customHeight="1">
      <c r="F184" s="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82"/>
      <c r="V184" s="82"/>
      <c r="W184" s="82"/>
      <c r="X184" s="82"/>
      <c r="Y184" s="82"/>
      <c r="Z184" s="82"/>
    </row>
    <row r="185" ht="15.75" customHeight="1">
      <c r="F185" s="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82"/>
      <c r="V185" s="82"/>
      <c r="W185" s="82"/>
      <c r="X185" s="82"/>
      <c r="Y185" s="82"/>
      <c r="Z185" s="82"/>
    </row>
    <row r="186" ht="15.75" customHeight="1">
      <c r="F186" s="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82"/>
      <c r="V186" s="82"/>
      <c r="W186" s="82"/>
      <c r="X186" s="82"/>
      <c r="Y186" s="82"/>
      <c r="Z186" s="82"/>
    </row>
    <row r="187" ht="15.75" customHeight="1"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82"/>
      <c r="V187" s="82"/>
      <c r="W187" s="82"/>
      <c r="X187" s="82"/>
      <c r="Y187" s="82"/>
      <c r="Z187" s="82"/>
    </row>
    <row r="188" ht="15.75" customHeight="1"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82"/>
      <c r="V188" s="82"/>
      <c r="W188" s="82"/>
      <c r="X188" s="82"/>
      <c r="Y188" s="82"/>
      <c r="Z188" s="82"/>
    </row>
    <row r="189" ht="15.75" customHeight="1">
      <c r="F189" s="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82"/>
      <c r="V189" s="82"/>
      <c r="W189" s="82"/>
      <c r="X189" s="82"/>
      <c r="Y189" s="82"/>
      <c r="Z189" s="82"/>
    </row>
    <row r="190" ht="15.75" customHeight="1"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82"/>
      <c r="V190" s="82"/>
      <c r="W190" s="82"/>
      <c r="X190" s="82"/>
      <c r="Y190" s="82"/>
      <c r="Z190" s="82"/>
    </row>
    <row r="191" ht="15.75" customHeight="1"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82"/>
      <c r="V191" s="82"/>
      <c r="W191" s="82"/>
      <c r="X191" s="82"/>
      <c r="Y191" s="82"/>
      <c r="Z191" s="82"/>
    </row>
    <row r="192" ht="15.75" customHeight="1"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82"/>
      <c r="V192" s="82"/>
      <c r="W192" s="82"/>
      <c r="X192" s="82"/>
      <c r="Y192" s="82"/>
      <c r="Z192" s="82"/>
    </row>
    <row r="193" ht="15.75" customHeight="1"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82"/>
      <c r="V193" s="82"/>
      <c r="W193" s="82"/>
      <c r="X193" s="82"/>
      <c r="Y193" s="82"/>
      <c r="Z193" s="82"/>
    </row>
    <row r="194" ht="15.75" customHeight="1">
      <c r="F194" s="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82"/>
      <c r="V194" s="82"/>
      <c r="W194" s="82"/>
      <c r="X194" s="82"/>
      <c r="Y194" s="82"/>
      <c r="Z194" s="82"/>
    </row>
    <row r="195" ht="15.75" customHeight="1">
      <c r="F195" s="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82"/>
      <c r="V195" s="82"/>
      <c r="W195" s="82"/>
      <c r="X195" s="82"/>
      <c r="Y195" s="82"/>
      <c r="Z195" s="82"/>
    </row>
    <row r="196" ht="15.75" customHeight="1">
      <c r="F196" s="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82"/>
      <c r="V196" s="82"/>
      <c r="W196" s="82"/>
      <c r="X196" s="82"/>
      <c r="Y196" s="82"/>
      <c r="Z196" s="82"/>
    </row>
    <row r="197" ht="15.75" customHeight="1">
      <c r="F197" s="1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82"/>
      <c r="V197" s="82"/>
      <c r="W197" s="82"/>
      <c r="X197" s="82"/>
      <c r="Y197" s="82"/>
      <c r="Z197" s="82"/>
    </row>
    <row r="198" ht="15.75" customHeight="1">
      <c r="F198" s="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82"/>
      <c r="V198" s="82"/>
      <c r="W198" s="82"/>
      <c r="X198" s="82"/>
      <c r="Y198" s="82"/>
      <c r="Z198" s="82"/>
    </row>
    <row r="199" ht="15.75" customHeight="1">
      <c r="F199" s="1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82"/>
      <c r="V199" s="82"/>
      <c r="W199" s="82"/>
      <c r="X199" s="82"/>
      <c r="Y199" s="82"/>
      <c r="Z199" s="82"/>
    </row>
    <row r="200" ht="15.75" customHeight="1">
      <c r="F200" s="1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82"/>
      <c r="V200" s="82"/>
      <c r="W200" s="82"/>
      <c r="X200" s="82"/>
      <c r="Y200" s="82"/>
      <c r="Z200" s="82"/>
    </row>
    <row r="201" ht="15.75" customHeight="1">
      <c r="F201" s="1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82"/>
      <c r="V201" s="82"/>
      <c r="W201" s="82"/>
      <c r="X201" s="82"/>
      <c r="Y201" s="82"/>
      <c r="Z201" s="82"/>
    </row>
    <row r="202" ht="15.75" customHeight="1">
      <c r="F202" s="1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82"/>
      <c r="V202" s="82"/>
      <c r="W202" s="82"/>
      <c r="X202" s="82"/>
      <c r="Y202" s="82"/>
      <c r="Z202" s="82"/>
    </row>
    <row r="203" ht="15.75" customHeight="1">
      <c r="F203" s="1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82"/>
      <c r="V203" s="82"/>
      <c r="W203" s="82"/>
      <c r="X203" s="82"/>
      <c r="Y203" s="82"/>
      <c r="Z203" s="82"/>
    </row>
    <row r="204" ht="15.75" customHeight="1">
      <c r="F204" s="1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82"/>
      <c r="V204" s="82"/>
      <c r="W204" s="82"/>
      <c r="X204" s="82"/>
      <c r="Y204" s="82"/>
      <c r="Z204" s="82"/>
    </row>
    <row r="205" ht="15.75" customHeight="1">
      <c r="F205" s="1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82"/>
      <c r="V205" s="82"/>
      <c r="W205" s="82"/>
      <c r="X205" s="82"/>
      <c r="Y205" s="82"/>
      <c r="Z205" s="82"/>
    </row>
    <row r="206" ht="15.75" customHeight="1">
      <c r="F206" s="1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82"/>
      <c r="V206" s="82"/>
      <c r="W206" s="82"/>
      <c r="X206" s="82"/>
      <c r="Y206" s="82"/>
      <c r="Z206" s="82"/>
    </row>
    <row r="207" ht="15.75" customHeight="1">
      <c r="F207" s="1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82"/>
      <c r="V207" s="82"/>
      <c r="W207" s="82"/>
      <c r="X207" s="82"/>
      <c r="Y207" s="82"/>
      <c r="Z207" s="82"/>
    </row>
    <row r="208" ht="15.75" customHeight="1">
      <c r="F208" s="1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82"/>
      <c r="V208" s="82"/>
      <c r="W208" s="82"/>
      <c r="X208" s="82"/>
      <c r="Y208" s="82"/>
      <c r="Z208" s="82"/>
    </row>
    <row r="209" ht="15.75" customHeight="1">
      <c r="F209" s="1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82"/>
      <c r="V209" s="82"/>
      <c r="W209" s="82"/>
      <c r="X209" s="82"/>
      <c r="Y209" s="82"/>
      <c r="Z209" s="82"/>
    </row>
    <row r="210" ht="15.75" customHeight="1">
      <c r="F210" s="1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82"/>
      <c r="V210" s="82"/>
      <c r="W210" s="82"/>
      <c r="X210" s="82"/>
      <c r="Y210" s="82"/>
      <c r="Z210" s="82"/>
    </row>
    <row r="211" ht="15.75" customHeight="1">
      <c r="F211" s="1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82"/>
      <c r="V211" s="82"/>
      <c r="W211" s="82"/>
      <c r="X211" s="82"/>
      <c r="Y211" s="82"/>
      <c r="Z211" s="82"/>
    </row>
    <row r="212" ht="15.75" customHeight="1">
      <c r="F212" s="1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82"/>
      <c r="V212" s="82"/>
      <c r="W212" s="82"/>
      <c r="X212" s="82"/>
      <c r="Y212" s="82"/>
      <c r="Z212" s="82"/>
    </row>
    <row r="213" ht="15.75" customHeight="1">
      <c r="F213" s="1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82"/>
      <c r="V213" s="82"/>
      <c r="W213" s="82"/>
      <c r="X213" s="82"/>
      <c r="Y213" s="82"/>
      <c r="Z213" s="82"/>
    </row>
    <row r="214" ht="15.75" customHeight="1">
      <c r="F214" s="1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82"/>
      <c r="V214" s="82"/>
      <c r="W214" s="82"/>
      <c r="X214" s="82"/>
      <c r="Y214" s="82"/>
      <c r="Z214" s="82"/>
    </row>
    <row r="215" ht="15.75" customHeight="1">
      <c r="F215" s="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82"/>
      <c r="V215" s="82"/>
      <c r="W215" s="82"/>
      <c r="X215" s="82"/>
      <c r="Y215" s="82"/>
      <c r="Z215" s="82"/>
    </row>
    <row r="216" ht="15.75" customHeight="1">
      <c r="F216" s="1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82"/>
      <c r="V216" s="82"/>
      <c r="W216" s="82"/>
      <c r="X216" s="82"/>
      <c r="Y216" s="82"/>
      <c r="Z216" s="82"/>
    </row>
    <row r="217" ht="15.75" customHeight="1">
      <c r="F217" s="1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82"/>
      <c r="V217" s="82"/>
      <c r="W217" s="82"/>
      <c r="X217" s="82"/>
      <c r="Y217" s="82"/>
      <c r="Z217" s="82"/>
    </row>
    <row r="218" ht="15.75" customHeight="1">
      <c r="F218" s="1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82"/>
      <c r="V218" s="82"/>
      <c r="W218" s="82"/>
      <c r="X218" s="82"/>
      <c r="Y218" s="82"/>
      <c r="Z218" s="82"/>
    </row>
    <row r="219" ht="15.75" customHeight="1">
      <c r="F219" s="1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82"/>
      <c r="V219" s="82"/>
      <c r="W219" s="82"/>
      <c r="X219" s="82"/>
      <c r="Y219" s="82"/>
      <c r="Z219" s="82"/>
    </row>
    <row r="220" ht="15.75" customHeight="1">
      <c r="F220" s="1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82"/>
      <c r="V220" s="82"/>
      <c r="W220" s="82"/>
      <c r="X220" s="82"/>
      <c r="Y220" s="82"/>
      <c r="Z220" s="82"/>
    </row>
    <row r="221" ht="15.75" customHeight="1">
      <c r="F221" s="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82"/>
      <c r="V221" s="82"/>
      <c r="W221" s="82"/>
      <c r="X221" s="82"/>
      <c r="Y221" s="82"/>
      <c r="Z221" s="82"/>
    </row>
    <row r="222" ht="15.75" customHeight="1">
      <c r="F222" s="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82"/>
      <c r="V222" s="82"/>
      <c r="W222" s="82"/>
      <c r="X222" s="82"/>
      <c r="Y222" s="82"/>
      <c r="Z222" s="82"/>
    </row>
    <row r="223" ht="15.75" customHeight="1">
      <c r="F223" s="1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82"/>
      <c r="V223" s="82"/>
      <c r="W223" s="82"/>
      <c r="X223" s="82"/>
      <c r="Y223" s="82"/>
      <c r="Z223" s="82"/>
    </row>
    <row r="224" ht="15.75" customHeight="1">
      <c r="F224" s="1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82"/>
      <c r="V224" s="82"/>
      <c r="W224" s="82"/>
      <c r="X224" s="82"/>
      <c r="Y224" s="82"/>
      <c r="Z224" s="82"/>
    </row>
    <row r="225" ht="15.75" customHeight="1">
      <c r="F225" s="1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82"/>
      <c r="V225" s="82"/>
      <c r="W225" s="82"/>
      <c r="X225" s="82"/>
      <c r="Y225" s="82"/>
      <c r="Z225" s="82"/>
    </row>
    <row r="226" ht="15.75" customHeight="1">
      <c r="F226" s="1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82"/>
      <c r="V226" s="82"/>
      <c r="W226" s="82"/>
      <c r="X226" s="82"/>
      <c r="Y226" s="82"/>
      <c r="Z226" s="82"/>
    </row>
    <row r="227" ht="15.75" customHeight="1">
      <c r="F227" s="1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82"/>
      <c r="V227" s="82"/>
      <c r="W227" s="82"/>
      <c r="X227" s="82"/>
      <c r="Y227" s="82"/>
      <c r="Z227" s="82"/>
    </row>
    <row r="228" ht="15.75" customHeight="1">
      <c r="F228" s="1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82"/>
      <c r="V228" s="82"/>
      <c r="W228" s="82"/>
      <c r="X228" s="82"/>
      <c r="Y228" s="82"/>
      <c r="Z228" s="82"/>
    </row>
    <row r="229" ht="15.75" customHeight="1">
      <c r="F229" s="1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82"/>
      <c r="V229" s="82"/>
      <c r="W229" s="82"/>
      <c r="X229" s="82"/>
      <c r="Y229" s="82"/>
      <c r="Z229" s="82"/>
    </row>
    <row r="230" ht="15.75" customHeight="1">
      <c r="F230" s="1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82"/>
      <c r="V230" s="82"/>
      <c r="W230" s="82"/>
      <c r="X230" s="82"/>
      <c r="Y230" s="82"/>
      <c r="Z230" s="82"/>
    </row>
    <row r="231" ht="15.75" customHeight="1">
      <c r="F231" s="1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82"/>
      <c r="V231" s="82"/>
      <c r="W231" s="82"/>
      <c r="X231" s="82"/>
      <c r="Y231" s="82"/>
      <c r="Z231" s="82"/>
    </row>
    <row r="232" ht="15.75" customHeight="1">
      <c r="F232" s="1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82"/>
      <c r="V232" s="82"/>
      <c r="W232" s="82"/>
      <c r="X232" s="82"/>
      <c r="Y232" s="82"/>
      <c r="Z232" s="82"/>
    </row>
    <row r="233" ht="15.75" customHeight="1">
      <c r="F233" s="1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82"/>
      <c r="V233" s="82"/>
      <c r="W233" s="82"/>
      <c r="X233" s="82"/>
      <c r="Y233" s="82"/>
      <c r="Z233" s="82"/>
    </row>
    <row r="234" ht="15.75" customHeight="1">
      <c r="F234" s="1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82"/>
      <c r="V234" s="82"/>
      <c r="W234" s="82"/>
      <c r="X234" s="82"/>
      <c r="Y234" s="82"/>
      <c r="Z234" s="82"/>
    </row>
    <row r="235" ht="15.75" customHeight="1">
      <c r="F235" s="1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82"/>
      <c r="V235" s="82"/>
      <c r="W235" s="82"/>
      <c r="X235" s="82"/>
      <c r="Y235" s="82"/>
      <c r="Z235" s="82"/>
    </row>
    <row r="236" ht="15.75" customHeight="1">
      <c r="F236" s="1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82"/>
      <c r="V236" s="82"/>
      <c r="W236" s="82"/>
      <c r="X236" s="82"/>
      <c r="Y236" s="82"/>
      <c r="Z236" s="82"/>
    </row>
    <row r="237" ht="15.75" customHeight="1">
      <c r="F237" s="1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82"/>
      <c r="V237" s="82"/>
      <c r="W237" s="82"/>
      <c r="X237" s="82"/>
      <c r="Y237" s="82"/>
      <c r="Z237" s="82"/>
    </row>
    <row r="238" ht="15.75" customHeight="1">
      <c r="F238" s="1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82"/>
      <c r="V238" s="82"/>
      <c r="W238" s="82"/>
      <c r="X238" s="82"/>
      <c r="Y238" s="82"/>
      <c r="Z238" s="82"/>
    </row>
    <row r="239" ht="15.75" customHeight="1">
      <c r="F239" s="1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82"/>
      <c r="V239" s="82"/>
      <c r="W239" s="82"/>
      <c r="X239" s="82"/>
      <c r="Y239" s="82"/>
      <c r="Z239" s="82"/>
    </row>
    <row r="240" ht="15.75" customHeight="1">
      <c r="F240" s="1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82"/>
      <c r="V240" s="82"/>
      <c r="W240" s="82"/>
      <c r="X240" s="82"/>
      <c r="Y240" s="82"/>
      <c r="Z240" s="82"/>
    </row>
    <row r="241" ht="15.75" customHeight="1">
      <c r="F241" s="1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82"/>
      <c r="V241" s="82"/>
      <c r="W241" s="82"/>
      <c r="X241" s="82"/>
      <c r="Y241" s="82"/>
      <c r="Z241" s="82"/>
    </row>
    <row r="242" ht="15.75" customHeight="1">
      <c r="F242" s="1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82"/>
      <c r="V242" s="82"/>
      <c r="W242" s="82"/>
      <c r="X242" s="82"/>
      <c r="Y242" s="82"/>
      <c r="Z242" s="82"/>
    </row>
    <row r="243" ht="15.75" customHeight="1">
      <c r="F243" s="1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82"/>
      <c r="V243" s="82"/>
      <c r="W243" s="82"/>
      <c r="X243" s="82"/>
      <c r="Y243" s="82"/>
      <c r="Z243" s="82"/>
    </row>
    <row r="244" ht="15.75" customHeight="1">
      <c r="U244" s="82"/>
      <c r="V244" s="82"/>
      <c r="W244" s="82"/>
      <c r="X244" s="82"/>
      <c r="Y244" s="82"/>
      <c r="Z244" s="82"/>
    </row>
    <row r="245" ht="15.75" customHeight="1">
      <c r="U245" s="82"/>
      <c r="V245" s="82"/>
      <c r="W245" s="82"/>
      <c r="X245" s="82"/>
      <c r="Y245" s="82"/>
      <c r="Z245" s="82"/>
    </row>
    <row r="246" ht="15.75" customHeight="1">
      <c r="U246" s="82"/>
      <c r="V246" s="82"/>
      <c r="W246" s="82"/>
      <c r="X246" s="82"/>
      <c r="Y246" s="82"/>
      <c r="Z246" s="82"/>
    </row>
    <row r="247" ht="15.75" customHeight="1">
      <c r="U247" s="82"/>
      <c r="V247" s="82"/>
      <c r="W247" s="82"/>
      <c r="X247" s="82"/>
      <c r="Y247" s="82"/>
      <c r="Z247" s="82"/>
    </row>
    <row r="248" ht="15.75" customHeight="1">
      <c r="U248" s="82"/>
      <c r="V248" s="82"/>
      <c r="W248" s="82"/>
      <c r="X248" s="82"/>
      <c r="Y248" s="82"/>
      <c r="Z248" s="82"/>
    </row>
    <row r="249" ht="15.75" customHeight="1">
      <c r="U249" s="82"/>
      <c r="V249" s="82"/>
      <c r="W249" s="82"/>
      <c r="X249" s="82"/>
      <c r="Y249" s="82"/>
      <c r="Z249" s="82"/>
    </row>
    <row r="250" ht="15.75" customHeight="1">
      <c r="U250" s="82"/>
      <c r="V250" s="82"/>
      <c r="W250" s="82"/>
      <c r="X250" s="82"/>
      <c r="Y250" s="82"/>
      <c r="Z250" s="82"/>
    </row>
    <row r="251" ht="15.75" customHeight="1">
      <c r="U251" s="82"/>
      <c r="V251" s="82"/>
      <c r="W251" s="82"/>
      <c r="X251" s="82"/>
      <c r="Y251" s="82"/>
      <c r="Z251" s="82"/>
    </row>
    <row r="252" ht="15.75" customHeight="1">
      <c r="U252" s="82"/>
      <c r="V252" s="82"/>
      <c r="W252" s="82"/>
      <c r="X252" s="82"/>
      <c r="Y252" s="82"/>
      <c r="Z252" s="82"/>
    </row>
    <row r="253" ht="15.75" customHeight="1">
      <c r="U253" s="82"/>
      <c r="V253" s="82"/>
      <c r="W253" s="82"/>
      <c r="X253" s="82"/>
      <c r="Y253" s="82"/>
      <c r="Z253" s="82"/>
    </row>
    <row r="254" ht="15.75" customHeight="1">
      <c r="U254" s="82"/>
      <c r="V254" s="82"/>
      <c r="W254" s="82"/>
      <c r="X254" s="82"/>
      <c r="Y254" s="82"/>
      <c r="Z254" s="82"/>
    </row>
    <row r="255" ht="15.75" customHeight="1">
      <c r="U255" s="82"/>
      <c r="V255" s="82"/>
      <c r="W255" s="82"/>
      <c r="X255" s="82"/>
      <c r="Y255" s="82"/>
      <c r="Z255" s="82"/>
    </row>
    <row r="256" ht="15.75" customHeight="1">
      <c r="U256" s="82"/>
      <c r="V256" s="82"/>
      <c r="W256" s="82"/>
      <c r="X256" s="82"/>
      <c r="Y256" s="82"/>
      <c r="Z256" s="82"/>
    </row>
    <row r="257" ht="15.75" customHeight="1">
      <c r="U257" s="82"/>
      <c r="V257" s="82"/>
      <c r="W257" s="82"/>
      <c r="X257" s="82"/>
      <c r="Y257" s="82"/>
      <c r="Z257" s="82"/>
    </row>
    <row r="258" ht="15.75" customHeight="1">
      <c r="U258" s="82"/>
      <c r="V258" s="82"/>
      <c r="W258" s="82"/>
      <c r="X258" s="82"/>
      <c r="Y258" s="82"/>
      <c r="Z258" s="82"/>
    </row>
    <row r="259" ht="15.75" customHeight="1">
      <c r="U259" s="82"/>
      <c r="V259" s="82"/>
      <c r="W259" s="82"/>
      <c r="X259" s="82"/>
      <c r="Y259" s="82"/>
      <c r="Z259" s="82"/>
    </row>
    <row r="260" ht="15.75" customHeight="1">
      <c r="U260" s="82"/>
      <c r="V260" s="82"/>
      <c r="W260" s="82"/>
      <c r="X260" s="82"/>
      <c r="Y260" s="82"/>
      <c r="Z260" s="82"/>
    </row>
    <row r="261" ht="15.75" customHeight="1">
      <c r="U261" s="82"/>
      <c r="V261" s="82"/>
      <c r="W261" s="82"/>
      <c r="X261" s="82"/>
      <c r="Y261" s="82"/>
      <c r="Z261" s="82"/>
    </row>
    <row r="262" ht="15.75" customHeight="1">
      <c r="U262" s="82"/>
      <c r="V262" s="82"/>
      <c r="W262" s="82"/>
      <c r="X262" s="82"/>
      <c r="Y262" s="82"/>
      <c r="Z262" s="82"/>
    </row>
    <row r="263" ht="15.75" customHeight="1">
      <c r="U263" s="82"/>
      <c r="V263" s="82"/>
      <c r="W263" s="82"/>
      <c r="X263" s="82"/>
      <c r="Y263" s="82"/>
      <c r="Z263" s="82"/>
    </row>
    <row r="264" ht="15.75" customHeight="1">
      <c r="U264" s="82"/>
      <c r="V264" s="82"/>
      <c r="W264" s="82"/>
      <c r="X264" s="82"/>
      <c r="Y264" s="82"/>
      <c r="Z264" s="82"/>
    </row>
    <row r="265" ht="15.75" customHeight="1">
      <c r="U265" s="82"/>
      <c r="V265" s="82"/>
      <c r="W265" s="82"/>
      <c r="X265" s="82"/>
      <c r="Y265" s="82"/>
      <c r="Z265" s="82"/>
    </row>
    <row r="266" ht="15.75" customHeight="1">
      <c r="U266" s="82"/>
      <c r="V266" s="82"/>
      <c r="W266" s="82"/>
      <c r="X266" s="82"/>
      <c r="Y266" s="82"/>
      <c r="Z266" s="82"/>
    </row>
    <row r="267" ht="15.75" customHeight="1">
      <c r="U267" s="82"/>
      <c r="V267" s="82"/>
      <c r="W267" s="82"/>
      <c r="X267" s="82"/>
      <c r="Y267" s="82"/>
      <c r="Z267" s="82"/>
    </row>
    <row r="268" ht="15.75" customHeight="1">
      <c r="U268" s="82"/>
      <c r="V268" s="82"/>
      <c r="W268" s="82"/>
      <c r="X268" s="82"/>
      <c r="Y268" s="82"/>
      <c r="Z268" s="82"/>
    </row>
    <row r="269" ht="15.75" customHeight="1">
      <c r="U269" s="82"/>
      <c r="V269" s="82"/>
      <c r="W269" s="82"/>
      <c r="X269" s="82"/>
      <c r="Y269" s="82"/>
      <c r="Z269" s="82"/>
    </row>
    <row r="270" ht="15.75" customHeight="1">
      <c r="U270" s="82"/>
      <c r="V270" s="82"/>
      <c r="W270" s="82"/>
      <c r="X270" s="82"/>
      <c r="Y270" s="82"/>
      <c r="Z270" s="82"/>
    </row>
    <row r="271" ht="15.75" customHeight="1">
      <c r="U271" s="82"/>
      <c r="V271" s="82"/>
      <c r="W271" s="82"/>
      <c r="X271" s="82"/>
      <c r="Y271" s="82"/>
      <c r="Z271" s="82"/>
    </row>
    <row r="272" ht="15.75" customHeight="1">
      <c r="U272" s="82"/>
      <c r="V272" s="82"/>
      <c r="W272" s="82"/>
      <c r="X272" s="82"/>
      <c r="Y272" s="82"/>
      <c r="Z272" s="82"/>
    </row>
    <row r="273" ht="15.75" customHeight="1">
      <c r="U273" s="82"/>
      <c r="V273" s="82"/>
      <c r="W273" s="82"/>
      <c r="X273" s="82"/>
      <c r="Y273" s="82"/>
      <c r="Z273" s="82"/>
    </row>
    <row r="274" ht="15.75" customHeight="1">
      <c r="U274" s="82"/>
      <c r="V274" s="82"/>
      <c r="W274" s="82"/>
      <c r="X274" s="82"/>
      <c r="Y274" s="82"/>
      <c r="Z274" s="82"/>
    </row>
    <row r="275" ht="15.75" customHeight="1">
      <c r="U275" s="82"/>
      <c r="V275" s="82"/>
      <c r="W275" s="82"/>
      <c r="X275" s="82"/>
      <c r="Y275" s="82"/>
      <c r="Z275" s="82"/>
    </row>
    <row r="276" ht="15.75" customHeight="1">
      <c r="U276" s="82"/>
      <c r="V276" s="82"/>
      <c r="W276" s="82"/>
      <c r="X276" s="82"/>
      <c r="Y276" s="82"/>
      <c r="Z276" s="82"/>
    </row>
    <row r="277" ht="15.75" customHeight="1">
      <c r="U277" s="82"/>
      <c r="V277" s="82"/>
      <c r="W277" s="82"/>
      <c r="X277" s="82"/>
      <c r="Y277" s="82"/>
      <c r="Z277" s="82"/>
    </row>
    <row r="278" ht="15.75" customHeight="1">
      <c r="U278" s="82"/>
      <c r="V278" s="82"/>
      <c r="W278" s="82"/>
      <c r="X278" s="82"/>
      <c r="Y278" s="82"/>
      <c r="Z278" s="82"/>
    </row>
    <row r="279" ht="15.75" customHeight="1">
      <c r="U279" s="82"/>
      <c r="V279" s="82"/>
      <c r="W279" s="82"/>
      <c r="X279" s="82"/>
      <c r="Y279" s="82"/>
      <c r="Z279" s="82"/>
    </row>
    <row r="280" ht="15.75" customHeight="1">
      <c r="U280" s="82"/>
      <c r="V280" s="82"/>
      <c r="W280" s="82"/>
      <c r="X280" s="82"/>
      <c r="Y280" s="82"/>
      <c r="Z280" s="82"/>
    </row>
    <row r="281" ht="15.75" customHeight="1">
      <c r="U281" s="82"/>
      <c r="V281" s="82"/>
      <c r="W281" s="82"/>
      <c r="X281" s="82"/>
      <c r="Y281" s="82"/>
      <c r="Z281" s="82"/>
    </row>
    <row r="282" ht="15.75" customHeight="1">
      <c r="U282" s="82"/>
      <c r="V282" s="82"/>
      <c r="W282" s="82"/>
      <c r="X282" s="82"/>
      <c r="Y282" s="82"/>
      <c r="Z282" s="82"/>
    </row>
    <row r="283" ht="15.75" customHeight="1">
      <c r="U283" s="82"/>
      <c r="V283" s="82"/>
      <c r="W283" s="82"/>
      <c r="X283" s="82"/>
      <c r="Y283" s="82"/>
      <c r="Z283" s="82"/>
    </row>
    <row r="284" ht="15.75" customHeight="1">
      <c r="U284" s="82"/>
      <c r="V284" s="82"/>
      <c r="W284" s="82"/>
      <c r="X284" s="82"/>
      <c r="Y284" s="82"/>
      <c r="Z284" s="82"/>
    </row>
    <row r="285" ht="15.75" customHeight="1">
      <c r="U285" s="82"/>
      <c r="V285" s="82"/>
      <c r="W285" s="82"/>
      <c r="X285" s="82"/>
      <c r="Y285" s="82"/>
      <c r="Z285" s="82"/>
    </row>
    <row r="286" ht="15.75" customHeight="1">
      <c r="U286" s="82"/>
      <c r="V286" s="82"/>
      <c r="W286" s="82"/>
      <c r="X286" s="82"/>
      <c r="Y286" s="82"/>
      <c r="Z286" s="82"/>
    </row>
    <row r="287" ht="15.75" customHeight="1">
      <c r="U287" s="82"/>
      <c r="V287" s="82"/>
      <c r="W287" s="82"/>
      <c r="X287" s="82"/>
      <c r="Y287" s="82"/>
      <c r="Z287" s="82"/>
    </row>
    <row r="288" ht="15.75" customHeight="1">
      <c r="U288" s="82"/>
      <c r="V288" s="82"/>
      <c r="W288" s="82"/>
      <c r="X288" s="82"/>
      <c r="Y288" s="82"/>
      <c r="Z288" s="82"/>
    </row>
    <row r="289" ht="15.75" customHeight="1">
      <c r="U289" s="82"/>
      <c r="V289" s="82"/>
      <c r="W289" s="82"/>
      <c r="X289" s="82"/>
      <c r="Y289" s="82"/>
      <c r="Z289" s="82"/>
    </row>
    <row r="290" ht="15.75" customHeight="1">
      <c r="U290" s="82"/>
      <c r="V290" s="82"/>
      <c r="W290" s="82"/>
      <c r="X290" s="82"/>
      <c r="Y290" s="82"/>
      <c r="Z290" s="82"/>
    </row>
    <row r="291" ht="15.75" customHeight="1">
      <c r="U291" s="82"/>
      <c r="V291" s="82"/>
      <c r="W291" s="82"/>
      <c r="X291" s="82"/>
      <c r="Y291" s="82"/>
      <c r="Z291" s="82"/>
    </row>
    <row r="292" ht="15.75" customHeight="1">
      <c r="U292" s="82"/>
      <c r="V292" s="82"/>
      <c r="W292" s="82"/>
      <c r="X292" s="82"/>
      <c r="Y292" s="82"/>
      <c r="Z292" s="82"/>
    </row>
    <row r="293" ht="15.75" customHeight="1">
      <c r="U293" s="82"/>
      <c r="V293" s="82"/>
      <c r="W293" s="82"/>
      <c r="X293" s="82"/>
      <c r="Y293" s="82"/>
      <c r="Z293" s="82"/>
    </row>
    <row r="294" ht="15.75" customHeight="1">
      <c r="U294" s="82"/>
      <c r="V294" s="82"/>
      <c r="W294" s="82"/>
      <c r="X294" s="82"/>
      <c r="Y294" s="82"/>
      <c r="Z294" s="82"/>
    </row>
    <row r="295" ht="15.75" customHeight="1">
      <c r="U295" s="82"/>
      <c r="V295" s="82"/>
      <c r="W295" s="82"/>
      <c r="X295" s="82"/>
      <c r="Y295" s="82"/>
      <c r="Z295" s="82"/>
    </row>
    <row r="296" ht="15.75" customHeight="1">
      <c r="U296" s="82"/>
      <c r="V296" s="82"/>
      <c r="W296" s="82"/>
      <c r="X296" s="82"/>
      <c r="Y296" s="82"/>
      <c r="Z296" s="82"/>
    </row>
    <row r="297" ht="15.75" customHeight="1">
      <c r="U297" s="82"/>
      <c r="V297" s="82"/>
      <c r="W297" s="82"/>
      <c r="X297" s="82"/>
      <c r="Y297" s="82"/>
      <c r="Z297" s="82"/>
    </row>
    <row r="298" ht="15.75" customHeight="1">
      <c r="U298" s="82"/>
      <c r="V298" s="82"/>
      <c r="W298" s="82"/>
      <c r="X298" s="82"/>
      <c r="Y298" s="82"/>
      <c r="Z298" s="82"/>
    </row>
    <row r="299" ht="15.75" customHeight="1">
      <c r="U299" s="82"/>
      <c r="V299" s="82"/>
      <c r="W299" s="82"/>
      <c r="X299" s="82"/>
      <c r="Y299" s="82"/>
      <c r="Z299" s="82"/>
    </row>
    <row r="300" ht="15.75" customHeight="1">
      <c r="U300" s="82"/>
      <c r="V300" s="82"/>
      <c r="W300" s="82"/>
      <c r="X300" s="82"/>
      <c r="Y300" s="82"/>
      <c r="Z300" s="82"/>
    </row>
    <row r="301" ht="15.75" customHeight="1">
      <c r="U301" s="82"/>
      <c r="V301" s="82"/>
      <c r="W301" s="82"/>
      <c r="X301" s="82"/>
      <c r="Y301" s="82"/>
      <c r="Z301" s="82"/>
    </row>
    <row r="302" ht="15.75" customHeight="1">
      <c r="U302" s="82"/>
      <c r="V302" s="82"/>
      <c r="W302" s="82"/>
      <c r="X302" s="82"/>
      <c r="Y302" s="82"/>
      <c r="Z302" s="82"/>
    </row>
    <row r="303" ht="15.75" customHeight="1">
      <c r="U303" s="82"/>
      <c r="V303" s="82"/>
      <c r="W303" s="82"/>
      <c r="X303" s="82"/>
      <c r="Y303" s="82"/>
      <c r="Z303" s="82"/>
    </row>
    <row r="304" ht="15.75" customHeight="1">
      <c r="U304" s="82"/>
      <c r="V304" s="82"/>
      <c r="W304" s="82"/>
      <c r="X304" s="82"/>
      <c r="Y304" s="82"/>
      <c r="Z304" s="82"/>
    </row>
    <row r="305" ht="15.75" customHeight="1">
      <c r="U305" s="82"/>
      <c r="V305" s="82"/>
      <c r="W305" s="82"/>
      <c r="X305" s="82"/>
      <c r="Y305" s="82"/>
      <c r="Z305" s="82"/>
    </row>
    <row r="306" ht="15.75" customHeight="1">
      <c r="U306" s="82"/>
      <c r="V306" s="82"/>
      <c r="W306" s="82"/>
      <c r="X306" s="82"/>
      <c r="Y306" s="82"/>
      <c r="Z306" s="82"/>
    </row>
    <row r="307" ht="15.75" customHeight="1">
      <c r="U307" s="82"/>
      <c r="V307" s="82"/>
      <c r="W307" s="82"/>
      <c r="X307" s="82"/>
      <c r="Y307" s="82"/>
      <c r="Z307" s="82"/>
    </row>
    <row r="308" ht="15.75" customHeight="1">
      <c r="U308" s="82"/>
      <c r="V308" s="82"/>
      <c r="W308" s="82"/>
      <c r="X308" s="82"/>
      <c r="Y308" s="82"/>
      <c r="Z308" s="82"/>
    </row>
    <row r="309" ht="15.75" customHeight="1">
      <c r="U309" s="82"/>
      <c r="V309" s="82"/>
      <c r="W309" s="82"/>
      <c r="X309" s="82"/>
      <c r="Y309" s="82"/>
      <c r="Z309" s="82"/>
    </row>
    <row r="310" ht="15.75" customHeight="1">
      <c r="U310" s="82"/>
      <c r="V310" s="82"/>
      <c r="W310" s="82"/>
      <c r="X310" s="82"/>
      <c r="Y310" s="82"/>
      <c r="Z310" s="82"/>
    </row>
    <row r="311" ht="15.75" customHeight="1">
      <c r="U311" s="82"/>
      <c r="V311" s="82"/>
      <c r="W311" s="82"/>
      <c r="X311" s="82"/>
      <c r="Y311" s="82"/>
      <c r="Z311" s="82"/>
    </row>
    <row r="312" ht="15.75" customHeight="1">
      <c r="U312" s="82"/>
      <c r="V312" s="82"/>
      <c r="W312" s="82"/>
      <c r="X312" s="82"/>
      <c r="Y312" s="82"/>
      <c r="Z312" s="82"/>
    </row>
    <row r="313" ht="15.75" customHeight="1">
      <c r="U313" s="82"/>
      <c r="V313" s="82"/>
      <c r="W313" s="82"/>
      <c r="X313" s="82"/>
      <c r="Y313" s="82"/>
      <c r="Z313" s="82"/>
    </row>
    <row r="314" ht="15.75" customHeight="1">
      <c r="U314" s="82"/>
      <c r="V314" s="82"/>
      <c r="W314" s="82"/>
      <c r="X314" s="82"/>
      <c r="Y314" s="82"/>
      <c r="Z314" s="82"/>
    </row>
    <row r="315" ht="15.75" customHeight="1">
      <c r="U315" s="82"/>
      <c r="V315" s="82"/>
      <c r="W315" s="82"/>
      <c r="X315" s="82"/>
      <c r="Y315" s="82"/>
      <c r="Z315" s="82"/>
    </row>
    <row r="316" ht="15.75" customHeight="1">
      <c r="U316" s="82"/>
      <c r="V316" s="82"/>
      <c r="W316" s="82"/>
      <c r="X316" s="82"/>
      <c r="Y316" s="82"/>
      <c r="Z316" s="82"/>
    </row>
    <row r="317" ht="15.75" customHeight="1">
      <c r="U317" s="82"/>
      <c r="V317" s="82"/>
      <c r="W317" s="82"/>
      <c r="X317" s="82"/>
      <c r="Y317" s="82"/>
      <c r="Z317" s="82"/>
    </row>
    <row r="318" ht="15.75" customHeight="1">
      <c r="U318" s="82"/>
      <c r="V318" s="82"/>
      <c r="W318" s="82"/>
      <c r="X318" s="82"/>
      <c r="Y318" s="82"/>
      <c r="Z318" s="82"/>
    </row>
    <row r="319" ht="15.75" customHeight="1">
      <c r="U319" s="82"/>
      <c r="V319" s="82"/>
      <c r="W319" s="82"/>
      <c r="X319" s="82"/>
      <c r="Y319" s="82"/>
      <c r="Z319" s="82"/>
    </row>
    <row r="320" ht="15.75" customHeight="1">
      <c r="U320" s="82"/>
      <c r="V320" s="82"/>
      <c r="W320" s="82"/>
      <c r="X320" s="82"/>
      <c r="Y320" s="82"/>
      <c r="Z320" s="82"/>
    </row>
    <row r="321" ht="15.75" customHeight="1">
      <c r="U321" s="82"/>
      <c r="V321" s="82"/>
      <c r="W321" s="82"/>
      <c r="X321" s="82"/>
      <c r="Y321" s="82"/>
      <c r="Z321" s="82"/>
    </row>
    <row r="322" ht="15.75" customHeight="1">
      <c r="U322" s="82"/>
      <c r="V322" s="82"/>
      <c r="W322" s="82"/>
      <c r="X322" s="82"/>
      <c r="Y322" s="82"/>
      <c r="Z322" s="82"/>
    </row>
    <row r="323" ht="15.75" customHeight="1">
      <c r="U323" s="82"/>
      <c r="V323" s="82"/>
      <c r="W323" s="82"/>
      <c r="X323" s="82"/>
      <c r="Y323" s="82"/>
      <c r="Z323" s="82"/>
    </row>
    <row r="324" ht="15.75" customHeight="1">
      <c r="U324" s="82"/>
      <c r="V324" s="82"/>
      <c r="W324" s="82"/>
      <c r="X324" s="82"/>
      <c r="Y324" s="82"/>
      <c r="Z324" s="82"/>
    </row>
    <row r="325" ht="15.75" customHeight="1">
      <c r="U325" s="82"/>
      <c r="V325" s="82"/>
      <c r="W325" s="82"/>
      <c r="X325" s="82"/>
      <c r="Y325" s="82"/>
      <c r="Z325" s="82"/>
    </row>
    <row r="326" ht="15.75" customHeight="1">
      <c r="U326" s="82"/>
      <c r="V326" s="82"/>
      <c r="W326" s="82"/>
      <c r="X326" s="82"/>
      <c r="Y326" s="82"/>
      <c r="Z326" s="82"/>
    </row>
    <row r="327" ht="15.75" customHeight="1">
      <c r="U327" s="82"/>
      <c r="V327" s="82"/>
      <c r="W327" s="82"/>
      <c r="X327" s="82"/>
      <c r="Y327" s="82"/>
      <c r="Z327" s="82"/>
    </row>
    <row r="328" ht="15.75" customHeight="1">
      <c r="U328" s="82"/>
      <c r="V328" s="82"/>
      <c r="W328" s="82"/>
      <c r="X328" s="82"/>
      <c r="Y328" s="82"/>
      <c r="Z328" s="82"/>
    </row>
    <row r="329" ht="15.75" customHeight="1">
      <c r="U329" s="82"/>
      <c r="V329" s="82"/>
      <c r="W329" s="82"/>
      <c r="X329" s="82"/>
      <c r="Y329" s="82"/>
      <c r="Z329" s="82"/>
    </row>
    <row r="330" ht="15.75" customHeight="1">
      <c r="U330" s="82"/>
      <c r="V330" s="82"/>
      <c r="W330" s="82"/>
      <c r="X330" s="82"/>
      <c r="Y330" s="82"/>
      <c r="Z330" s="82"/>
    </row>
    <row r="331" ht="15.75" customHeight="1">
      <c r="U331" s="82"/>
      <c r="V331" s="82"/>
      <c r="W331" s="82"/>
      <c r="X331" s="82"/>
      <c r="Y331" s="82"/>
      <c r="Z331" s="82"/>
    </row>
    <row r="332" ht="15.75" customHeight="1">
      <c r="U332" s="82"/>
      <c r="V332" s="82"/>
      <c r="W332" s="82"/>
      <c r="X332" s="82"/>
      <c r="Y332" s="82"/>
      <c r="Z332" s="82"/>
    </row>
    <row r="333" ht="15.75" customHeight="1">
      <c r="U333" s="82"/>
      <c r="V333" s="82"/>
      <c r="W333" s="82"/>
      <c r="X333" s="82"/>
      <c r="Y333" s="82"/>
      <c r="Z333" s="82"/>
    </row>
    <row r="334" ht="15.75" customHeight="1">
      <c r="U334" s="82"/>
      <c r="V334" s="82"/>
      <c r="W334" s="82"/>
      <c r="X334" s="82"/>
      <c r="Y334" s="82"/>
      <c r="Z334" s="82"/>
    </row>
    <row r="335" ht="15.75" customHeight="1">
      <c r="U335" s="82"/>
      <c r="V335" s="82"/>
      <c r="W335" s="82"/>
      <c r="X335" s="82"/>
      <c r="Y335" s="82"/>
      <c r="Z335" s="82"/>
    </row>
    <row r="336" ht="15.75" customHeight="1">
      <c r="U336" s="82"/>
      <c r="V336" s="82"/>
      <c r="W336" s="82"/>
      <c r="X336" s="82"/>
      <c r="Y336" s="82"/>
      <c r="Z336" s="82"/>
    </row>
    <row r="337" ht="15.75" customHeight="1">
      <c r="U337" s="82"/>
      <c r="V337" s="82"/>
      <c r="W337" s="82"/>
      <c r="X337" s="82"/>
      <c r="Y337" s="82"/>
      <c r="Z337" s="82"/>
    </row>
    <row r="338" ht="15.75" customHeight="1">
      <c r="U338" s="82"/>
      <c r="V338" s="82"/>
      <c r="W338" s="82"/>
      <c r="X338" s="82"/>
      <c r="Y338" s="82"/>
      <c r="Z338" s="82"/>
    </row>
    <row r="339" ht="15.75" customHeight="1">
      <c r="U339" s="82"/>
      <c r="V339" s="82"/>
      <c r="W339" s="82"/>
      <c r="X339" s="82"/>
      <c r="Y339" s="82"/>
      <c r="Z339" s="82"/>
    </row>
    <row r="340" ht="15.75" customHeight="1">
      <c r="U340" s="82"/>
      <c r="V340" s="82"/>
      <c r="W340" s="82"/>
      <c r="X340" s="82"/>
      <c r="Y340" s="82"/>
      <c r="Z340" s="82"/>
    </row>
    <row r="341" ht="15.75" customHeight="1">
      <c r="U341" s="82"/>
      <c r="V341" s="82"/>
      <c r="W341" s="82"/>
      <c r="X341" s="82"/>
      <c r="Y341" s="82"/>
      <c r="Z341" s="82"/>
    </row>
    <row r="342" ht="15.75" customHeight="1">
      <c r="U342" s="82"/>
      <c r="V342" s="82"/>
      <c r="W342" s="82"/>
      <c r="X342" s="82"/>
      <c r="Y342" s="82"/>
      <c r="Z342" s="82"/>
    </row>
    <row r="343" ht="15.75" customHeight="1">
      <c r="U343" s="82"/>
      <c r="V343" s="82"/>
      <c r="W343" s="82"/>
      <c r="X343" s="82"/>
      <c r="Y343" s="82"/>
      <c r="Z343" s="82"/>
    </row>
    <row r="344" ht="15.75" customHeight="1">
      <c r="U344" s="82"/>
      <c r="V344" s="82"/>
      <c r="W344" s="82"/>
      <c r="X344" s="82"/>
      <c r="Y344" s="82"/>
      <c r="Z344" s="82"/>
    </row>
    <row r="345" ht="15.75" customHeight="1">
      <c r="U345" s="82"/>
      <c r="V345" s="82"/>
      <c r="W345" s="82"/>
      <c r="X345" s="82"/>
      <c r="Y345" s="82"/>
      <c r="Z345" s="82"/>
    </row>
    <row r="346" ht="15.75" customHeight="1">
      <c r="U346" s="82"/>
      <c r="V346" s="82"/>
      <c r="W346" s="82"/>
      <c r="X346" s="82"/>
      <c r="Y346" s="82"/>
      <c r="Z346" s="82"/>
    </row>
    <row r="347" ht="15.75" customHeight="1">
      <c r="U347" s="82"/>
      <c r="V347" s="82"/>
      <c r="W347" s="82"/>
      <c r="X347" s="82"/>
      <c r="Y347" s="82"/>
      <c r="Z347" s="82"/>
    </row>
    <row r="348" ht="15.75" customHeight="1">
      <c r="U348" s="82"/>
      <c r="V348" s="82"/>
      <c r="W348" s="82"/>
      <c r="X348" s="82"/>
      <c r="Y348" s="82"/>
      <c r="Z348" s="82"/>
    </row>
    <row r="349" ht="15.75" customHeight="1">
      <c r="U349" s="82"/>
      <c r="V349" s="82"/>
      <c r="W349" s="82"/>
      <c r="X349" s="82"/>
      <c r="Y349" s="82"/>
      <c r="Z349" s="82"/>
    </row>
    <row r="350" ht="15.75" customHeight="1">
      <c r="U350" s="82"/>
      <c r="V350" s="82"/>
      <c r="W350" s="82"/>
      <c r="X350" s="82"/>
      <c r="Y350" s="82"/>
      <c r="Z350" s="82"/>
    </row>
    <row r="351" ht="15.75" customHeight="1">
      <c r="U351" s="82"/>
      <c r="V351" s="82"/>
      <c r="W351" s="82"/>
      <c r="X351" s="82"/>
      <c r="Y351" s="82"/>
      <c r="Z351" s="82"/>
    </row>
    <row r="352" ht="15.75" customHeight="1">
      <c r="U352" s="82"/>
      <c r="V352" s="82"/>
      <c r="W352" s="82"/>
      <c r="X352" s="82"/>
      <c r="Y352" s="82"/>
      <c r="Z352" s="82"/>
    </row>
    <row r="353" ht="15.75" customHeight="1">
      <c r="U353" s="82"/>
      <c r="V353" s="82"/>
      <c r="W353" s="82"/>
      <c r="X353" s="82"/>
      <c r="Y353" s="82"/>
      <c r="Z353" s="82"/>
    </row>
    <row r="354" ht="15.75" customHeight="1">
      <c r="U354" s="82"/>
      <c r="V354" s="82"/>
      <c r="W354" s="82"/>
      <c r="X354" s="82"/>
      <c r="Y354" s="82"/>
      <c r="Z354" s="82"/>
    </row>
    <row r="355" ht="15.75" customHeight="1">
      <c r="U355" s="82"/>
      <c r="V355" s="82"/>
      <c r="W355" s="82"/>
      <c r="X355" s="82"/>
      <c r="Y355" s="82"/>
      <c r="Z355" s="82"/>
    </row>
    <row r="356" ht="15.75" customHeight="1">
      <c r="U356" s="82"/>
      <c r="V356" s="82"/>
      <c r="W356" s="82"/>
      <c r="X356" s="82"/>
      <c r="Y356" s="82"/>
      <c r="Z356" s="82"/>
    </row>
    <row r="357" ht="15.75" customHeight="1">
      <c r="U357" s="82"/>
      <c r="V357" s="82"/>
      <c r="W357" s="82"/>
      <c r="X357" s="82"/>
      <c r="Y357" s="82"/>
      <c r="Z357" s="82"/>
    </row>
    <row r="358" ht="15.75" customHeight="1">
      <c r="U358" s="82"/>
      <c r="V358" s="82"/>
      <c r="W358" s="82"/>
      <c r="X358" s="82"/>
      <c r="Y358" s="82"/>
      <c r="Z358" s="82"/>
    </row>
    <row r="359" ht="15.75" customHeight="1">
      <c r="U359" s="82"/>
      <c r="V359" s="82"/>
      <c r="W359" s="82"/>
      <c r="X359" s="82"/>
      <c r="Y359" s="82"/>
      <c r="Z359" s="82"/>
    </row>
    <row r="360" ht="15.75" customHeight="1">
      <c r="U360" s="82"/>
      <c r="V360" s="82"/>
      <c r="W360" s="82"/>
      <c r="X360" s="82"/>
      <c r="Y360" s="82"/>
      <c r="Z360" s="82"/>
    </row>
    <row r="361" ht="15.75" customHeight="1">
      <c r="U361" s="82"/>
      <c r="V361" s="82"/>
      <c r="W361" s="82"/>
      <c r="X361" s="82"/>
      <c r="Y361" s="82"/>
      <c r="Z361" s="82"/>
    </row>
    <row r="362" ht="15.75" customHeight="1">
      <c r="U362" s="82"/>
      <c r="V362" s="82"/>
      <c r="W362" s="82"/>
      <c r="X362" s="82"/>
      <c r="Y362" s="82"/>
      <c r="Z362" s="82"/>
    </row>
    <row r="363" ht="15.75" customHeight="1">
      <c r="U363" s="82"/>
      <c r="V363" s="82"/>
      <c r="W363" s="82"/>
      <c r="X363" s="82"/>
      <c r="Y363" s="82"/>
      <c r="Z363" s="82"/>
    </row>
    <row r="364" ht="15.75" customHeight="1">
      <c r="U364" s="82"/>
      <c r="V364" s="82"/>
      <c r="W364" s="82"/>
      <c r="X364" s="82"/>
      <c r="Y364" s="82"/>
      <c r="Z364" s="82"/>
    </row>
    <row r="365" ht="15.75" customHeight="1">
      <c r="U365" s="82"/>
      <c r="V365" s="82"/>
      <c r="W365" s="82"/>
      <c r="X365" s="82"/>
      <c r="Y365" s="82"/>
      <c r="Z365" s="82"/>
    </row>
    <row r="366" ht="15.75" customHeight="1">
      <c r="U366" s="82"/>
      <c r="V366" s="82"/>
      <c r="W366" s="82"/>
      <c r="X366" s="82"/>
      <c r="Y366" s="82"/>
      <c r="Z366" s="82"/>
    </row>
    <row r="367" ht="15.75" customHeight="1">
      <c r="U367" s="82"/>
      <c r="V367" s="82"/>
      <c r="W367" s="82"/>
      <c r="X367" s="82"/>
      <c r="Y367" s="82"/>
      <c r="Z367" s="82"/>
    </row>
    <row r="368" ht="15.75" customHeight="1">
      <c r="U368" s="82"/>
      <c r="V368" s="82"/>
      <c r="W368" s="82"/>
      <c r="X368" s="82"/>
      <c r="Y368" s="82"/>
      <c r="Z368" s="82"/>
    </row>
    <row r="369" ht="15.75" customHeight="1">
      <c r="U369" s="82"/>
      <c r="V369" s="82"/>
      <c r="W369" s="82"/>
      <c r="X369" s="82"/>
      <c r="Y369" s="82"/>
      <c r="Z369" s="82"/>
    </row>
    <row r="370" ht="15.75" customHeight="1">
      <c r="U370" s="82"/>
      <c r="V370" s="82"/>
      <c r="W370" s="82"/>
      <c r="X370" s="82"/>
      <c r="Y370" s="82"/>
      <c r="Z370" s="82"/>
    </row>
    <row r="371" ht="15.75" customHeight="1">
      <c r="U371" s="82"/>
      <c r="V371" s="82"/>
      <c r="W371" s="82"/>
      <c r="X371" s="82"/>
      <c r="Y371" s="82"/>
      <c r="Z371" s="82"/>
    </row>
    <row r="372" ht="15.75" customHeight="1">
      <c r="U372" s="82"/>
      <c r="V372" s="82"/>
      <c r="W372" s="82"/>
      <c r="X372" s="82"/>
      <c r="Y372" s="82"/>
      <c r="Z372" s="82"/>
    </row>
    <row r="373" ht="15.75" customHeight="1">
      <c r="U373" s="82"/>
      <c r="V373" s="82"/>
      <c r="W373" s="82"/>
      <c r="X373" s="82"/>
      <c r="Y373" s="82"/>
      <c r="Z373" s="82"/>
    </row>
    <row r="374" ht="15.75" customHeight="1">
      <c r="U374" s="82"/>
      <c r="V374" s="82"/>
      <c r="W374" s="82"/>
      <c r="X374" s="82"/>
      <c r="Y374" s="82"/>
      <c r="Z374" s="82"/>
    </row>
    <row r="375" ht="15.75" customHeight="1">
      <c r="U375" s="82"/>
      <c r="V375" s="82"/>
      <c r="W375" s="82"/>
      <c r="X375" s="82"/>
      <c r="Y375" s="82"/>
      <c r="Z375" s="82"/>
    </row>
    <row r="376" ht="15.75" customHeight="1">
      <c r="U376" s="82"/>
      <c r="V376" s="82"/>
      <c r="W376" s="82"/>
      <c r="X376" s="82"/>
      <c r="Y376" s="82"/>
      <c r="Z376" s="82"/>
    </row>
    <row r="377" ht="15.75" customHeight="1">
      <c r="U377" s="82"/>
      <c r="V377" s="82"/>
      <c r="W377" s="82"/>
      <c r="X377" s="82"/>
      <c r="Y377" s="82"/>
      <c r="Z377" s="82"/>
    </row>
    <row r="378" ht="15.75" customHeight="1">
      <c r="U378" s="82"/>
      <c r="V378" s="82"/>
      <c r="W378" s="82"/>
      <c r="X378" s="82"/>
      <c r="Y378" s="82"/>
      <c r="Z378" s="82"/>
    </row>
    <row r="379" ht="15.75" customHeight="1">
      <c r="U379" s="82"/>
      <c r="V379" s="82"/>
      <c r="W379" s="82"/>
      <c r="X379" s="82"/>
      <c r="Y379" s="82"/>
      <c r="Z379" s="82"/>
    </row>
    <row r="380" ht="15.75" customHeight="1">
      <c r="U380" s="82"/>
      <c r="V380" s="82"/>
      <c r="W380" s="82"/>
      <c r="X380" s="82"/>
      <c r="Y380" s="82"/>
      <c r="Z380" s="82"/>
    </row>
    <row r="381" ht="15.75" customHeight="1">
      <c r="U381" s="82"/>
      <c r="V381" s="82"/>
      <c r="W381" s="82"/>
      <c r="X381" s="82"/>
      <c r="Y381" s="82"/>
      <c r="Z381" s="82"/>
    </row>
    <row r="382" ht="15.75" customHeight="1">
      <c r="U382" s="82"/>
      <c r="V382" s="82"/>
      <c r="W382" s="82"/>
      <c r="X382" s="82"/>
      <c r="Y382" s="82"/>
      <c r="Z382" s="82"/>
    </row>
    <row r="383" ht="15.75" customHeight="1">
      <c r="U383" s="82"/>
      <c r="V383" s="82"/>
      <c r="W383" s="82"/>
      <c r="X383" s="82"/>
      <c r="Y383" s="82"/>
      <c r="Z383" s="82"/>
    </row>
    <row r="384" ht="15.75" customHeight="1">
      <c r="U384" s="82"/>
      <c r="V384" s="82"/>
      <c r="W384" s="82"/>
      <c r="X384" s="82"/>
      <c r="Y384" s="82"/>
      <c r="Z384" s="82"/>
    </row>
    <row r="385" ht="15.75" customHeight="1">
      <c r="U385" s="82"/>
      <c r="V385" s="82"/>
      <c r="W385" s="82"/>
      <c r="X385" s="82"/>
      <c r="Y385" s="82"/>
      <c r="Z385" s="82"/>
    </row>
    <row r="386" ht="15.75" customHeight="1">
      <c r="U386" s="82"/>
      <c r="V386" s="82"/>
      <c r="W386" s="82"/>
      <c r="X386" s="82"/>
      <c r="Y386" s="82"/>
      <c r="Z386" s="82"/>
    </row>
    <row r="387" ht="15.75" customHeight="1">
      <c r="U387" s="82"/>
      <c r="V387" s="82"/>
      <c r="W387" s="82"/>
      <c r="X387" s="82"/>
      <c r="Y387" s="82"/>
      <c r="Z387" s="82"/>
    </row>
    <row r="388" ht="15.75" customHeight="1">
      <c r="U388" s="82"/>
      <c r="V388" s="82"/>
      <c r="W388" s="82"/>
      <c r="X388" s="82"/>
      <c r="Y388" s="82"/>
      <c r="Z388" s="82"/>
    </row>
    <row r="389" ht="15.75" customHeight="1">
      <c r="U389" s="82"/>
      <c r="V389" s="82"/>
      <c r="W389" s="82"/>
      <c r="X389" s="82"/>
      <c r="Y389" s="82"/>
      <c r="Z389" s="82"/>
    </row>
    <row r="390" ht="15.75" customHeight="1">
      <c r="U390" s="82"/>
      <c r="V390" s="82"/>
      <c r="W390" s="82"/>
      <c r="X390" s="82"/>
      <c r="Y390" s="82"/>
      <c r="Z390" s="82"/>
    </row>
    <row r="391" ht="15.75" customHeight="1">
      <c r="U391" s="82"/>
      <c r="V391" s="82"/>
      <c r="W391" s="82"/>
      <c r="X391" s="82"/>
      <c r="Y391" s="82"/>
      <c r="Z391" s="82"/>
    </row>
    <row r="392" ht="15.75" customHeight="1">
      <c r="U392" s="82"/>
      <c r="V392" s="82"/>
      <c r="W392" s="82"/>
      <c r="X392" s="82"/>
      <c r="Y392" s="82"/>
      <c r="Z392" s="82"/>
    </row>
    <row r="393" ht="15.75" customHeight="1">
      <c r="U393" s="82"/>
      <c r="V393" s="82"/>
      <c r="W393" s="82"/>
      <c r="X393" s="82"/>
      <c r="Y393" s="82"/>
      <c r="Z393" s="82"/>
    </row>
    <row r="394" ht="15.75" customHeight="1">
      <c r="U394" s="82"/>
      <c r="V394" s="82"/>
      <c r="W394" s="82"/>
      <c r="X394" s="82"/>
      <c r="Y394" s="82"/>
      <c r="Z394" s="82"/>
    </row>
    <row r="395" ht="15.75" customHeight="1">
      <c r="U395" s="82"/>
      <c r="V395" s="82"/>
      <c r="W395" s="82"/>
      <c r="X395" s="82"/>
      <c r="Y395" s="82"/>
      <c r="Z395" s="82"/>
    </row>
    <row r="396" ht="15.75" customHeight="1">
      <c r="U396" s="82"/>
      <c r="V396" s="82"/>
      <c r="W396" s="82"/>
      <c r="X396" s="82"/>
      <c r="Y396" s="82"/>
      <c r="Z396" s="82"/>
    </row>
    <row r="397" ht="15.75" customHeight="1">
      <c r="U397" s="82"/>
      <c r="V397" s="82"/>
      <c r="W397" s="82"/>
      <c r="X397" s="82"/>
      <c r="Y397" s="82"/>
      <c r="Z397" s="82"/>
    </row>
    <row r="398" ht="15.75" customHeight="1">
      <c r="U398" s="82"/>
      <c r="V398" s="82"/>
      <c r="W398" s="82"/>
      <c r="X398" s="82"/>
      <c r="Y398" s="82"/>
      <c r="Z398" s="82"/>
    </row>
    <row r="399" ht="15.75" customHeight="1">
      <c r="U399" s="82"/>
      <c r="V399" s="82"/>
      <c r="W399" s="82"/>
      <c r="X399" s="82"/>
      <c r="Y399" s="82"/>
      <c r="Z399" s="82"/>
    </row>
    <row r="400" ht="15.75" customHeight="1">
      <c r="U400" s="82"/>
      <c r="V400" s="82"/>
      <c r="W400" s="82"/>
      <c r="X400" s="82"/>
      <c r="Y400" s="82"/>
      <c r="Z400" s="82"/>
    </row>
    <row r="401" ht="15.75" customHeight="1">
      <c r="U401" s="82"/>
      <c r="V401" s="82"/>
      <c r="W401" s="82"/>
      <c r="X401" s="82"/>
      <c r="Y401" s="82"/>
      <c r="Z401" s="82"/>
    </row>
    <row r="402" ht="15.75" customHeight="1">
      <c r="U402" s="82"/>
      <c r="V402" s="82"/>
      <c r="W402" s="82"/>
      <c r="X402" s="82"/>
      <c r="Y402" s="82"/>
      <c r="Z402" s="82"/>
    </row>
    <row r="403" ht="15.75" customHeight="1">
      <c r="U403" s="82"/>
      <c r="V403" s="82"/>
      <c r="W403" s="82"/>
      <c r="X403" s="82"/>
      <c r="Y403" s="82"/>
      <c r="Z403" s="82"/>
    </row>
    <row r="404" ht="15.75" customHeight="1">
      <c r="U404" s="82"/>
      <c r="V404" s="82"/>
      <c r="W404" s="82"/>
      <c r="X404" s="82"/>
      <c r="Y404" s="82"/>
      <c r="Z404" s="82"/>
    </row>
    <row r="405" ht="15.75" customHeight="1">
      <c r="U405" s="82"/>
      <c r="V405" s="82"/>
      <c r="W405" s="82"/>
      <c r="X405" s="82"/>
      <c r="Y405" s="82"/>
      <c r="Z405" s="82"/>
    </row>
    <row r="406" ht="15.75" customHeight="1">
      <c r="U406" s="82"/>
      <c r="V406" s="82"/>
      <c r="W406" s="82"/>
      <c r="X406" s="82"/>
      <c r="Y406" s="82"/>
      <c r="Z406" s="82"/>
    </row>
    <row r="407" ht="15.75" customHeight="1">
      <c r="U407" s="82"/>
      <c r="V407" s="82"/>
      <c r="W407" s="82"/>
      <c r="X407" s="82"/>
      <c r="Y407" s="82"/>
      <c r="Z407" s="82"/>
    </row>
    <row r="408" ht="15.75" customHeight="1">
      <c r="U408" s="82"/>
      <c r="V408" s="82"/>
      <c r="W408" s="82"/>
      <c r="X408" s="82"/>
      <c r="Y408" s="82"/>
      <c r="Z408" s="82"/>
    </row>
    <row r="409" ht="15.75" customHeight="1">
      <c r="U409" s="82"/>
      <c r="V409" s="82"/>
      <c r="W409" s="82"/>
      <c r="X409" s="82"/>
      <c r="Y409" s="82"/>
      <c r="Z409" s="82"/>
    </row>
    <row r="410" ht="15.75" customHeight="1">
      <c r="U410" s="82"/>
      <c r="V410" s="82"/>
      <c r="W410" s="82"/>
      <c r="X410" s="82"/>
      <c r="Y410" s="82"/>
      <c r="Z410" s="82"/>
    </row>
    <row r="411" ht="15.75" customHeight="1">
      <c r="U411" s="82"/>
      <c r="V411" s="82"/>
      <c r="W411" s="82"/>
      <c r="X411" s="82"/>
      <c r="Y411" s="82"/>
      <c r="Z411" s="82"/>
    </row>
    <row r="412" ht="15.75" customHeight="1">
      <c r="U412" s="82"/>
      <c r="V412" s="82"/>
      <c r="W412" s="82"/>
      <c r="X412" s="82"/>
      <c r="Y412" s="82"/>
      <c r="Z412" s="82"/>
    </row>
    <row r="413" ht="15.75" customHeight="1">
      <c r="U413" s="82"/>
      <c r="V413" s="82"/>
      <c r="W413" s="82"/>
      <c r="X413" s="82"/>
      <c r="Y413" s="82"/>
      <c r="Z413" s="82"/>
    </row>
    <row r="414" ht="15.75" customHeight="1">
      <c r="U414" s="82"/>
      <c r="V414" s="82"/>
      <c r="W414" s="82"/>
      <c r="X414" s="82"/>
      <c r="Y414" s="82"/>
      <c r="Z414" s="82"/>
    </row>
    <row r="415" ht="15.75" customHeight="1">
      <c r="U415" s="82"/>
      <c r="V415" s="82"/>
      <c r="W415" s="82"/>
      <c r="X415" s="82"/>
      <c r="Y415" s="82"/>
      <c r="Z415" s="82"/>
    </row>
    <row r="416" ht="15.75" customHeight="1">
      <c r="U416" s="82"/>
      <c r="V416" s="82"/>
      <c r="W416" s="82"/>
      <c r="X416" s="82"/>
      <c r="Y416" s="82"/>
      <c r="Z416" s="82"/>
    </row>
    <row r="417" ht="15.75" customHeight="1">
      <c r="U417" s="82"/>
      <c r="V417" s="82"/>
      <c r="W417" s="82"/>
      <c r="X417" s="82"/>
      <c r="Y417" s="82"/>
      <c r="Z417" s="82"/>
    </row>
    <row r="418" ht="15.75" customHeight="1">
      <c r="U418" s="82"/>
      <c r="V418" s="82"/>
      <c r="W418" s="82"/>
      <c r="X418" s="82"/>
      <c r="Y418" s="82"/>
      <c r="Z418" s="82"/>
    </row>
    <row r="419" ht="15.75" customHeight="1">
      <c r="U419" s="82"/>
      <c r="V419" s="82"/>
      <c r="W419" s="82"/>
      <c r="X419" s="82"/>
      <c r="Y419" s="82"/>
      <c r="Z419" s="82"/>
    </row>
    <row r="420" ht="15.75" customHeight="1">
      <c r="U420" s="82"/>
      <c r="V420" s="82"/>
      <c r="W420" s="82"/>
      <c r="X420" s="82"/>
      <c r="Y420" s="82"/>
      <c r="Z420" s="82"/>
    </row>
    <row r="421" ht="15.75" customHeight="1">
      <c r="U421" s="82"/>
      <c r="V421" s="82"/>
      <c r="W421" s="82"/>
      <c r="X421" s="82"/>
      <c r="Y421" s="82"/>
      <c r="Z421" s="82"/>
    </row>
    <row r="422" ht="15.75" customHeight="1">
      <c r="U422" s="82"/>
      <c r="V422" s="82"/>
      <c r="W422" s="82"/>
      <c r="X422" s="82"/>
      <c r="Y422" s="82"/>
      <c r="Z422" s="82"/>
    </row>
    <row r="423" ht="15.75" customHeight="1">
      <c r="U423" s="82"/>
      <c r="V423" s="82"/>
      <c r="W423" s="82"/>
      <c r="X423" s="82"/>
      <c r="Y423" s="82"/>
      <c r="Z423" s="82"/>
    </row>
    <row r="424" ht="15.75" customHeight="1">
      <c r="U424" s="82"/>
      <c r="V424" s="82"/>
      <c r="W424" s="82"/>
      <c r="X424" s="82"/>
      <c r="Y424" s="82"/>
      <c r="Z424" s="82"/>
    </row>
    <row r="425" ht="15.75" customHeight="1">
      <c r="U425" s="82"/>
      <c r="V425" s="82"/>
      <c r="W425" s="82"/>
      <c r="X425" s="82"/>
      <c r="Y425" s="82"/>
      <c r="Z425" s="82"/>
    </row>
    <row r="426" ht="15.75" customHeight="1">
      <c r="U426" s="82"/>
      <c r="V426" s="82"/>
      <c r="W426" s="82"/>
      <c r="X426" s="82"/>
      <c r="Y426" s="82"/>
      <c r="Z426" s="82"/>
    </row>
    <row r="427" ht="15.75" customHeight="1">
      <c r="U427" s="82"/>
      <c r="V427" s="82"/>
      <c r="W427" s="82"/>
      <c r="X427" s="82"/>
      <c r="Y427" s="82"/>
      <c r="Z427" s="82"/>
    </row>
    <row r="428" ht="15.75" customHeight="1">
      <c r="U428" s="82"/>
      <c r="V428" s="82"/>
      <c r="W428" s="82"/>
      <c r="X428" s="82"/>
      <c r="Y428" s="82"/>
      <c r="Z428" s="82"/>
    </row>
    <row r="429" ht="15.75" customHeight="1">
      <c r="U429" s="82"/>
      <c r="V429" s="82"/>
      <c r="W429" s="82"/>
      <c r="X429" s="82"/>
      <c r="Y429" s="82"/>
      <c r="Z429" s="82"/>
    </row>
    <row r="430" ht="15.75" customHeight="1">
      <c r="U430" s="82"/>
      <c r="V430" s="82"/>
      <c r="W430" s="82"/>
      <c r="X430" s="82"/>
      <c r="Y430" s="82"/>
      <c r="Z430" s="82"/>
    </row>
    <row r="431" ht="15.75" customHeight="1">
      <c r="U431" s="82"/>
      <c r="V431" s="82"/>
      <c r="W431" s="82"/>
      <c r="X431" s="82"/>
      <c r="Y431" s="82"/>
      <c r="Z431" s="82"/>
    </row>
    <row r="432" ht="15.75" customHeight="1">
      <c r="U432" s="82"/>
      <c r="V432" s="82"/>
      <c r="W432" s="82"/>
      <c r="X432" s="82"/>
      <c r="Y432" s="82"/>
      <c r="Z432" s="82"/>
    </row>
    <row r="433" ht="15.75" customHeight="1">
      <c r="U433" s="82"/>
      <c r="V433" s="82"/>
      <c r="W433" s="82"/>
      <c r="X433" s="82"/>
      <c r="Y433" s="82"/>
      <c r="Z433" s="82"/>
    </row>
    <row r="434" ht="15.75" customHeight="1">
      <c r="U434" s="82"/>
      <c r="V434" s="82"/>
      <c r="W434" s="82"/>
      <c r="X434" s="82"/>
      <c r="Y434" s="82"/>
      <c r="Z434" s="82"/>
    </row>
    <row r="435" ht="15.75" customHeight="1">
      <c r="U435" s="82"/>
      <c r="V435" s="82"/>
      <c r="W435" s="82"/>
      <c r="X435" s="82"/>
      <c r="Y435" s="82"/>
      <c r="Z435" s="82"/>
    </row>
    <row r="436" ht="15.75" customHeight="1">
      <c r="U436" s="82"/>
      <c r="V436" s="82"/>
      <c r="W436" s="82"/>
      <c r="X436" s="82"/>
      <c r="Y436" s="82"/>
      <c r="Z436" s="82"/>
    </row>
    <row r="437" ht="15.75" customHeight="1">
      <c r="U437" s="82"/>
      <c r="V437" s="82"/>
      <c r="W437" s="82"/>
      <c r="X437" s="82"/>
      <c r="Y437" s="82"/>
      <c r="Z437" s="82"/>
    </row>
    <row r="438" ht="15.75" customHeight="1">
      <c r="U438" s="82"/>
      <c r="V438" s="82"/>
      <c r="W438" s="82"/>
      <c r="X438" s="82"/>
      <c r="Y438" s="82"/>
      <c r="Z438" s="82"/>
    </row>
    <row r="439" ht="15.75" customHeight="1">
      <c r="U439" s="82"/>
      <c r="V439" s="82"/>
      <c r="W439" s="82"/>
      <c r="X439" s="82"/>
      <c r="Y439" s="82"/>
      <c r="Z439" s="82"/>
    </row>
    <row r="440" ht="15.75" customHeight="1">
      <c r="U440" s="82"/>
      <c r="V440" s="82"/>
      <c r="W440" s="82"/>
      <c r="X440" s="82"/>
      <c r="Y440" s="82"/>
      <c r="Z440" s="82"/>
    </row>
    <row r="441" ht="15.75" customHeight="1">
      <c r="U441" s="82"/>
      <c r="V441" s="82"/>
      <c r="W441" s="82"/>
      <c r="X441" s="82"/>
      <c r="Y441" s="82"/>
      <c r="Z441" s="82"/>
    </row>
    <row r="442" ht="15.75" customHeight="1">
      <c r="U442" s="82"/>
      <c r="V442" s="82"/>
      <c r="W442" s="82"/>
      <c r="X442" s="82"/>
      <c r="Y442" s="82"/>
      <c r="Z442" s="82"/>
    </row>
    <row r="443" ht="15.75" customHeight="1">
      <c r="U443" s="82"/>
      <c r="V443" s="82"/>
      <c r="W443" s="82"/>
      <c r="X443" s="82"/>
      <c r="Y443" s="82"/>
      <c r="Z443" s="82"/>
    </row>
    <row r="444" ht="15.75" customHeight="1">
      <c r="U444" s="82"/>
      <c r="V444" s="82"/>
      <c r="W444" s="82"/>
      <c r="X444" s="82"/>
      <c r="Y444" s="82"/>
      <c r="Z444" s="82"/>
    </row>
    <row r="445" ht="15.75" customHeight="1">
      <c r="U445" s="82"/>
      <c r="V445" s="82"/>
      <c r="W445" s="82"/>
      <c r="X445" s="82"/>
      <c r="Y445" s="82"/>
      <c r="Z445" s="82"/>
    </row>
    <row r="446" ht="15.75" customHeight="1">
      <c r="U446" s="82"/>
      <c r="V446" s="82"/>
      <c r="W446" s="82"/>
      <c r="X446" s="82"/>
      <c r="Y446" s="82"/>
      <c r="Z446" s="82"/>
    </row>
    <row r="447" ht="15.75" customHeight="1">
      <c r="U447" s="82"/>
      <c r="V447" s="82"/>
      <c r="W447" s="82"/>
      <c r="X447" s="82"/>
      <c r="Y447" s="82"/>
      <c r="Z447" s="82"/>
    </row>
    <row r="448" ht="15.75" customHeight="1">
      <c r="U448" s="82"/>
      <c r="V448" s="82"/>
      <c r="W448" s="82"/>
      <c r="X448" s="82"/>
      <c r="Y448" s="82"/>
      <c r="Z448" s="82"/>
    </row>
    <row r="449" ht="15.75" customHeight="1">
      <c r="U449" s="82"/>
      <c r="V449" s="82"/>
      <c r="W449" s="82"/>
      <c r="X449" s="82"/>
      <c r="Y449" s="82"/>
      <c r="Z449" s="82"/>
    </row>
    <row r="450" ht="15.75" customHeight="1">
      <c r="U450" s="82"/>
      <c r="V450" s="82"/>
      <c r="W450" s="82"/>
      <c r="X450" s="82"/>
      <c r="Y450" s="82"/>
      <c r="Z450" s="82"/>
    </row>
    <row r="451" ht="15.75" customHeight="1">
      <c r="U451" s="82"/>
      <c r="V451" s="82"/>
      <c r="W451" s="82"/>
      <c r="X451" s="82"/>
      <c r="Y451" s="82"/>
      <c r="Z451" s="82"/>
    </row>
    <row r="452" ht="15.75" customHeight="1">
      <c r="U452" s="82"/>
      <c r="V452" s="82"/>
      <c r="W452" s="82"/>
      <c r="X452" s="82"/>
      <c r="Y452" s="82"/>
      <c r="Z452" s="82"/>
    </row>
    <row r="453" ht="15.75" customHeight="1">
      <c r="U453" s="82"/>
      <c r="V453" s="82"/>
      <c r="W453" s="82"/>
      <c r="X453" s="82"/>
      <c r="Y453" s="82"/>
      <c r="Z453" s="82"/>
    </row>
    <row r="454" ht="15.75" customHeight="1">
      <c r="U454" s="82"/>
      <c r="V454" s="82"/>
      <c r="W454" s="82"/>
      <c r="X454" s="82"/>
      <c r="Y454" s="82"/>
      <c r="Z454" s="82"/>
    </row>
    <row r="455" ht="15.75" customHeight="1">
      <c r="U455" s="82"/>
      <c r="V455" s="82"/>
      <c r="W455" s="82"/>
      <c r="X455" s="82"/>
      <c r="Y455" s="82"/>
      <c r="Z455" s="82"/>
    </row>
    <row r="456" ht="15.75" customHeight="1">
      <c r="U456" s="82"/>
      <c r="V456" s="82"/>
      <c r="W456" s="82"/>
      <c r="X456" s="82"/>
      <c r="Y456" s="82"/>
      <c r="Z456" s="82"/>
    </row>
    <row r="457" ht="15.75" customHeight="1">
      <c r="U457" s="82"/>
      <c r="V457" s="82"/>
      <c r="W457" s="82"/>
      <c r="X457" s="82"/>
      <c r="Y457" s="82"/>
      <c r="Z457" s="82"/>
    </row>
    <row r="458" ht="15.75" customHeight="1">
      <c r="U458" s="82"/>
      <c r="V458" s="82"/>
      <c r="W458" s="82"/>
      <c r="X458" s="82"/>
      <c r="Y458" s="82"/>
      <c r="Z458" s="82"/>
    </row>
    <row r="459" ht="15.75" customHeight="1">
      <c r="U459" s="82"/>
      <c r="V459" s="82"/>
      <c r="W459" s="82"/>
      <c r="X459" s="82"/>
      <c r="Y459" s="82"/>
      <c r="Z459" s="82"/>
    </row>
    <row r="460" ht="15.75" customHeight="1">
      <c r="U460" s="82"/>
      <c r="V460" s="82"/>
      <c r="W460" s="82"/>
      <c r="X460" s="82"/>
      <c r="Y460" s="82"/>
      <c r="Z460" s="82"/>
    </row>
    <row r="461" ht="15.75" customHeight="1">
      <c r="U461" s="82"/>
      <c r="V461" s="82"/>
      <c r="W461" s="82"/>
      <c r="X461" s="82"/>
      <c r="Y461" s="82"/>
      <c r="Z461" s="82"/>
    </row>
    <row r="462" ht="15.75" customHeight="1">
      <c r="U462" s="82"/>
      <c r="V462" s="82"/>
      <c r="W462" s="82"/>
      <c r="X462" s="82"/>
      <c r="Y462" s="82"/>
      <c r="Z462" s="82"/>
    </row>
    <row r="463" ht="15.75" customHeight="1">
      <c r="U463" s="82"/>
      <c r="V463" s="82"/>
      <c r="W463" s="82"/>
      <c r="X463" s="82"/>
      <c r="Y463" s="82"/>
      <c r="Z463" s="82"/>
    </row>
    <row r="464" ht="15.75" customHeight="1">
      <c r="U464" s="82"/>
      <c r="V464" s="82"/>
      <c r="W464" s="82"/>
      <c r="X464" s="82"/>
      <c r="Y464" s="82"/>
      <c r="Z464" s="82"/>
    </row>
    <row r="465" ht="15.75" customHeight="1">
      <c r="U465" s="82"/>
      <c r="V465" s="82"/>
      <c r="W465" s="82"/>
      <c r="X465" s="82"/>
      <c r="Y465" s="82"/>
      <c r="Z465" s="82"/>
    </row>
    <row r="466" ht="15.75" customHeight="1">
      <c r="U466" s="82"/>
      <c r="V466" s="82"/>
      <c r="W466" s="82"/>
      <c r="X466" s="82"/>
      <c r="Y466" s="82"/>
      <c r="Z466" s="82"/>
    </row>
    <row r="467" ht="15.75" customHeight="1">
      <c r="U467" s="82"/>
      <c r="V467" s="82"/>
      <c r="W467" s="82"/>
      <c r="X467" s="82"/>
      <c r="Y467" s="82"/>
      <c r="Z467" s="82"/>
    </row>
    <row r="468" ht="15.75" customHeight="1">
      <c r="U468" s="82"/>
      <c r="V468" s="82"/>
      <c r="W468" s="82"/>
      <c r="X468" s="82"/>
      <c r="Y468" s="82"/>
      <c r="Z468" s="82"/>
    </row>
    <row r="469" ht="15.75" customHeight="1">
      <c r="U469" s="82"/>
      <c r="V469" s="82"/>
      <c r="W469" s="82"/>
      <c r="X469" s="82"/>
      <c r="Y469" s="82"/>
      <c r="Z469" s="82"/>
    </row>
    <row r="470" ht="15.75" customHeight="1">
      <c r="U470" s="82"/>
      <c r="V470" s="82"/>
      <c r="W470" s="82"/>
      <c r="X470" s="82"/>
      <c r="Y470" s="82"/>
      <c r="Z470" s="82"/>
    </row>
    <row r="471" ht="15.75" customHeight="1">
      <c r="U471" s="82"/>
      <c r="V471" s="82"/>
      <c r="W471" s="82"/>
      <c r="X471" s="82"/>
      <c r="Y471" s="82"/>
      <c r="Z471" s="82"/>
    </row>
    <row r="472" ht="15.75" customHeight="1">
      <c r="U472" s="82"/>
      <c r="V472" s="82"/>
      <c r="W472" s="82"/>
      <c r="X472" s="82"/>
      <c r="Y472" s="82"/>
      <c r="Z472" s="82"/>
    </row>
    <row r="473" ht="15.75" customHeight="1">
      <c r="U473" s="82"/>
      <c r="V473" s="82"/>
      <c r="W473" s="82"/>
      <c r="X473" s="82"/>
      <c r="Y473" s="82"/>
      <c r="Z473" s="82"/>
    </row>
    <row r="474" ht="15.75" customHeight="1">
      <c r="U474" s="82"/>
      <c r="V474" s="82"/>
      <c r="W474" s="82"/>
      <c r="X474" s="82"/>
      <c r="Y474" s="82"/>
      <c r="Z474" s="82"/>
    </row>
    <row r="475" ht="15.75" customHeight="1">
      <c r="U475" s="82"/>
      <c r="V475" s="82"/>
      <c r="W475" s="82"/>
      <c r="X475" s="82"/>
      <c r="Y475" s="82"/>
      <c r="Z475" s="82"/>
    </row>
    <row r="476" ht="15.75" customHeight="1">
      <c r="U476" s="82"/>
      <c r="V476" s="82"/>
      <c r="W476" s="82"/>
      <c r="X476" s="82"/>
      <c r="Y476" s="82"/>
      <c r="Z476" s="82"/>
    </row>
    <row r="477" ht="15.75" customHeight="1">
      <c r="U477" s="82"/>
      <c r="V477" s="82"/>
      <c r="W477" s="82"/>
      <c r="X477" s="82"/>
      <c r="Y477" s="82"/>
      <c r="Z477" s="82"/>
    </row>
    <row r="478" ht="15.75" customHeight="1">
      <c r="U478" s="82"/>
      <c r="V478" s="82"/>
      <c r="W478" s="82"/>
      <c r="X478" s="82"/>
      <c r="Y478" s="82"/>
      <c r="Z478" s="82"/>
    </row>
    <row r="479" ht="15.75" customHeight="1">
      <c r="U479" s="82"/>
      <c r="V479" s="82"/>
      <c r="W479" s="82"/>
      <c r="X479" s="82"/>
      <c r="Y479" s="82"/>
      <c r="Z479" s="82"/>
    </row>
    <row r="480" ht="15.75" customHeight="1">
      <c r="U480" s="82"/>
      <c r="V480" s="82"/>
      <c r="W480" s="82"/>
      <c r="X480" s="82"/>
      <c r="Y480" s="82"/>
      <c r="Z480" s="82"/>
    </row>
    <row r="481" ht="15.75" customHeight="1">
      <c r="U481" s="82"/>
      <c r="V481" s="82"/>
      <c r="W481" s="82"/>
      <c r="X481" s="82"/>
      <c r="Y481" s="82"/>
      <c r="Z481" s="82"/>
    </row>
    <row r="482" ht="15.75" customHeight="1">
      <c r="U482" s="82"/>
      <c r="V482" s="82"/>
      <c r="W482" s="82"/>
      <c r="X482" s="82"/>
      <c r="Y482" s="82"/>
      <c r="Z482" s="82"/>
    </row>
    <row r="483" ht="15.75" customHeight="1">
      <c r="U483" s="82"/>
      <c r="V483" s="82"/>
      <c r="W483" s="82"/>
      <c r="X483" s="82"/>
      <c r="Y483" s="82"/>
      <c r="Z483" s="82"/>
    </row>
    <row r="484" ht="15.75" customHeight="1">
      <c r="U484" s="82"/>
      <c r="V484" s="82"/>
      <c r="W484" s="82"/>
      <c r="X484" s="82"/>
      <c r="Y484" s="82"/>
      <c r="Z484" s="82"/>
    </row>
    <row r="485" ht="15.75" customHeight="1">
      <c r="U485" s="82"/>
      <c r="V485" s="82"/>
      <c r="W485" s="82"/>
      <c r="X485" s="82"/>
      <c r="Y485" s="82"/>
      <c r="Z485" s="82"/>
    </row>
    <row r="486" ht="15.75" customHeight="1">
      <c r="U486" s="82"/>
      <c r="V486" s="82"/>
      <c r="W486" s="82"/>
      <c r="X486" s="82"/>
      <c r="Y486" s="82"/>
      <c r="Z486" s="82"/>
    </row>
    <row r="487" ht="15.75" customHeight="1">
      <c r="U487" s="82"/>
      <c r="V487" s="82"/>
      <c r="W487" s="82"/>
      <c r="X487" s="82"/>
      <c r="Y487" s="82"/>
      <c r="Z487" s="82"/>
    </row>
    <row r="488" ht="15.75" customHeight="1">
      <c r="U488" s="82"/>
      <c r="V488" s="82"/>
      <c r="W488" s="82"/>
      <c r="X488" s="82"/>
      <c r="Y488" s="82"/>
      <c r="Z488" s="82"/>
    </row>
    <row r="489" ht="15.75" customHeight="1">
      <c r="U489" s="82"/>
      <c r="V489" s="82"/>
      <c r="W489" s="82"/>
      <c r="X489" s="82"/>
      <c r="Y489" s="82"/>
      <c r="Z489" s="82"/>
    </row>
    <row r="490" ht="15.75" customHeight="1">
      <c r="U490" s="82"/>
      <c r="V490" s="82"/>
      <c r="W490" s="82"/>
      <c r="X490" s="82"/>
      <c r="Y490" s="82"/>
      <c r="Z490" s="82"/>
    </row>
    <row r="491" ht="15.75" customHeight="1">
      <c r="U491" s="82"/>
      <c r="V491" s="82"/>
      <c r="W491" s="82"/>
      <c r="X491" s="82"/>
      <c r="Y491" s="82"/>
      <c r="Z491" s="82"/>
    </row>
    <row r="492" ht="15.75" customHeight="1">
      <c r="U492" s="82"/>
      <c r="V492" s="82"/>
      <c r="W492" s="82"/>
      <c r="X492" s="82"/>
      <c r="Y492" s="82"/>
      <c r="Z492" s="82"/>
    </row>
    <row r="493" ht="15.75" customHeight="1">
      <c r="U493" s="82"/>
      <c r="V493" s="82"/>
      <c r="W493" s="82"/>
      <c r="X493" s="82"/>
      <c r="Y493" s="82"/>
      <c r="Z493" s="82"/>
    </row>
    <row r="494" ht="15.75" customHeight="1">
      <c r="U494" s="82"/>
      <c r="V494" s="82"/>
      <c r="W494" s="82"/>
      <c r="X494" s="82"/>
      <c r="Y494" s="82"/>
      <c r="Z494" s="82"/>
    </row>
    <row r="495" ht="15.75" customHeight="1">
      <c r="U495" s="82"/>
      <c r="V495" s="82"/>
      <c r="W495" s="82"/>
      <c r="X495" s="82"/>
      <c r="Y495" s="82"/>
      <c r="Z495" s="82"/>
    </row>
    <row r="496" ht="15.75" customHeight="1">
      <c r="U496" s="82"/>
      <c r="V496" s="82"/>
      <c r="W496" s="82"/>
      <c r="X496" s="82"/>
      <c r="Y496" s="82"/>
      <c r="Z496" s="82"/>
    </row>
    <row r="497" ht="15.75" customHeight="1">
      <c r="U497" s="82"/>
      <c r="V497" s="82"/>
      <c r="W497" s="82"/>
      <c r="X497" s="82"/>
      <c r="Y497" s="82"/>
      <c r="Z497" s="82"/>
    </row>
    <row r="498" ht="15.75" customHeight="1">
      <c r="U498" s="82"/>
      <c r="V498" s="82"/>
      <c r="W498" s="82"/>
      <c r="X498" s="82"/>
      <c r="Y498" s="82"/>
      <c r="Z498" s="82"/>
    </row>
    <row r="499" ht="15.75" customHeight="1">
      <c r="U499" s="82"/>
      <c r="V499" s="82"/>
      <c r="W499" s="82"/>
      <c r="X499" s="82"/>
      <c r="Y499" s="82"/>
      <c r="Z499" s="82"/>
    </row>
    <row r="500" ht="15.75" customHeight="1">
      <c r="U500" s="82"/>
      <c r="V500" s="82"/>
      <c r="W500" s="82"/>
      <c r="X500" s="82"/>
      <c r="Y500" s="82"/>
      <c r="Z500" s="82"/>
    </row>
    <row r="501" ht="15.75" customHeight="1">
      <c r="U501" s="82"/>
      <c r="V501" s="82"/>
      <c r="W501" s="82"/>
      <c r="X501" s="82"/>
      <c r="Y501" s="82"/>
      <c r="Z501" s="82"/>
    </row>
    <row r="502" ht="15.75" customHeight="1">
      <c r="U502" s="82"/>
      <c r="V502" s="82"/>
      <c r="W502" s="82"/>
      <c r="X502" s="82"/>
      <c r="Y502" s="82"/>
      <c r="Z502" s="82"/>
    </row>
    <row r="503" ht="15.75" customHeight="1">
      <c r="U503" s="82"/>
      <c r="V503" s="82"/>
      <c r="W503" s="82"/>
      <c r="X503" s="82"/>
      <c r="Y503" s="82"/>
      <c r="Z503" s="82"/>
    </row>
    <row r="504" ht="15.75" customHeight="1">
      <c r="U504" s="82"/>
      <c r="V504" s="82"/>
      <c r="W504" s="82"/>
      <c r="X504" s="82"/>
      <c r="Y504" s="82"/>
      <c r="Z504" s="82"/>
    </row>
    <row r="505" ht="15.75" customHeight="1">
      <c r="U505" s="82"/>
      <c r="V505" s="82"/>
      <c r="W505" s="82"/>
      <c r="X505" s="82"/>
      <c r="Y505" s="82"/>
      <c r="Z505" s="82"/>
    </row>
    <row r="506" ht="15.75" customHeight="1">
      <c r="U506" s="82"/>
      <c r="V506" s="82"/>
      <c r="W506" s="82"/>
      <c r="X506" s="82"/>
      <c r="Y506" s="82"/>
      <c r="Z506" s="82"/>
    </row>
    <row r="507" ht="15.75" customHeight="1">
      <c r="U507" s="82"/>
      <c r="V507" s="82"/>
      <c r="W507" s="82"/>
      <c r="X507" s="82"/>
      <c r="Y507" s="82"/>
      <c r="Z507" s="82"/>
    </row>
    <row r="508" ht="15.75" customHeight="1">
      <c r="U508" s="82"/>
      <c r="V508" s="82"/>
      <c r="W508" s="82"/>
      <c r="X508" s="82"/>
      <c r="Y508" s="82"/>
      <c r="Z508" s="82"/>
    </row>
    <row r="509" ht="15.75" customHeight="1">
      <c r="U509" s="82"/>
      <c r="V509" s="82"/>
      <c r="W509" s="82"/>
      <c r="X509" s="82"/>
      <c r="Y509" s="82"/>
      <c r="Z509" s="82"/>
    </row>
    <row r="510" ht="15.75" customHeight="1">
      <c r="U510" s="82"/>
      <c r="V510" s="82"/>
      <c r="W510" s="82"/>
      <c r="X510" s="82"/>
      <c r="Y510" s="82"/>
      <c r="Z510" s="82"/>
    </row>
    <row r="511" ht="15.75" customHeight="1">
      <c r="U511" s="82"/>
      <c r="V511" s="82"/>
      <c r="W511" s="82"/>
      <c r="X511" s="82"/>
      <c r="Y511" s="82"/>
      <c r="Z511" s="82"/>
    </row>
    <row r="512" ht="15.75" customHeight="1">
      <c r="U512" s="82"/>
      <c r="V512" s="82"/>
      <c r="W512" s="82"/>
      <c r="X512" s="82"/>
      <c r="Y512" s="82"/>
      <c r="Z512" s="82"/>
    </row>
    <row r="513" ht="15.75" customHeight="1">
      <c r="U513" s="82"/>
      <c r="V513" s="82"/>
      <c r="W513" s="82"/>
      <c r="X513" s="82"/>
      <c r="Y513" s="82"/>
      <c r="Z513" s="82"/>
    </row>
    <row r="514" ht="15.75" customHeight="1">
      <c r="U514" s="82"/>
      <c r="V514" s="82"/>
      <c r="W514" s="82"/>
      <c r="X514" s="82"/>
      <c r="Y514" s="82"/>
      <c r="Z514" s="82"/>
    </row>
    <row r="515" ht="15.75" customHeight="1">
      <c r="U515" s="82"/>
      <c r="V515" s="82"/>
      <c r="W515" s="82"/>
      <c r="X515" s="82"/>
      <c r="Y515" s="82"/>
      <c r="Z515" s="82"/>
    </row>
    <row r="516" ht="15.75" customHeight="1">
      <c r="U516" s="82"/>
      <c r="V516" s="82"/>
      <c r="W516" s="82"/>
      <c r="X516" s="82"/>
      <c r="Y516" s="82"/>
      <c r="Z516" s="82"/>
    </row>
    <row r="517" ht="15.75" customHeight="1">
      <c r="U517" s="82"/>
      <c r="V517" s="82"/>
      <c r="W517" s="82"/>
      <c r="X517" s="82"/>
      <c r="Y517" s="82"/>
      <c r="Z517" s="82"/>
    </row>
    <row r="518" ht="15.75" customHeight="1">
      <c r="U518" s="82"/>
      <c r="V518" s="82"/>
      <c r="W518" s="82"/>
      <c r="X518" s="82"/>
      <c r="Y518" s="82"/>
      <c r="Z518" s="82"/>
    </row>
    <row r="519" ht="15.75" customHeight="1">
      <c r="U519" s="82"/>
      <c r="V519" s="82"/>
      <c r="W519" s="82"/>
      <c r="X519" s="82"/>
      <c r="Y519" s="82"/>
      <c r="Z519" s="82"/>
    </row>
    <row r="520" ht="15.75" customHeight="1">
      <c r="U520" s="82"/>
      <c r="V520" s="82"/>
      <c r="W520" s="82"/>
      <c r="X520" s="82"/>
      <c r="Y520" s="82"/>
      <c r="Z520" s="82"/>
    </row>
    <row r="521" ht="15.75" customHeight="1">
      <c r="U521" s="82"/>
      <c r="V521" s="82"/>
      <c r="W521" s="82"/>
      <c r="X521" s="82"/>
      <c r="Y521" s="82"/>
      <c r="Z521" s="82"/>
    </row>
    <row r="522" ht="15.75" customHeight="1">
      <c r="U522" s="82"/>
      <c r="V522" s="82"/>
      <c r="W522" s="82"/>
      <c r="X522" s="82"/>
      <c r="Y522" s="82"/>
      <c r="Z522" s="82"/>
    </row>
    <row r="523" ht="15.75" customHeight="1">
      <c r="U523" s="82"/>
      <c r="V523" s="82"/>
      <c r="W523" s="82"/>
      <c r="X523" s="82"/>
      <c r="Y523" s="82"/>
      <c r="Z523" s="82"/>
    </row>
    <row r="524" ht="15.75" customHeight="1">
      <c r="U524" s="82"/>
      <c r="V524" s="82"/>
      <c r="W524" s="82"/>
      <c r="X524" s="82"/>
      <c r="Y524" s="82"/>
      <c r="Z524" s="82"/>
    </row>
    <row r="525" ht="15.75" customHeight="1">
      <c r="U525" s="82"/>
      <c r="V525" s="82"/>
      <c r="W525" s="82"/>
      <c r="X525" s="82"/>
      <c r="Y525" s="82"/>
      <c r="Z525" s="82"/>
    </row>
    <row r="526" ht="15.75" customHeight="1">
      <c r="U526" s="82"/>
      <c r="V526" s="82"/>
      <c r="W526" s="82"/>
      <c r="X526" s="82"/>
      <c r="Y526" s="82"/>
      <c r="Z526" s="82"/>
    </row>
    <row r="527" ht="15.75" customHeight="1">
      <c r="U527" s="82"/>
      <c r="V527" s="82"/>
      <c r="W527" s="82"/>
      <c r="X527" s="82"/>
      <c r="Y527" s="82"/>
      <c r="Z527" s="82"/>
    </row>
    <row r="528" ht="15.75" customHeight="1">
      <c r="U528" s="82"/>
      <c r="V528" s="82"/>
      <c r="W528" s="82"/>
      <c r="X528" s="82"/>
      <c r="Y528" s="82"/>
      <c r="Z528" s="82"/>
    </row>
    <row r="529" ht="15.75" customHeight="1">
      <c r="U529" s="82"/>
      <c r="V529" s="82"/>
      <c r="W529" s="82"/>
      <c r="X529" s="82"/>
      <c r="Y529" s="82"/>
      <c r="Z529" s="82"/>
    </row>
    <row r="530" ht="15.75" customHeight="1">
      <c r="U530" s="82"/>
      <c r="V530" s="82"/>
      <c r="W530" s="82"/>
      <c r="X530" s="82"/>
      <c r="Y530" s="82"/>
      <c r="Z530" s="82"/>
    </row>
    <row r="531" ht="15.75" customHeight="1">
      <c r="U531" s="82"/>
      <c r="V531" s="82"/>
      <c r="W531" s="82"/>
      <c r="X531" s="82"/>
      <c r="Y531" s="82"/>
      <c r="Z531" s="82"/>
    </row>
    <row r="532" ht="15.75" customHeight="1">
      <c r="U532" s="82"/>
      <c r="V532" s="82"/>
      <c r="W532" s="82"/>
      <c r="X532" s="82"/>
      <c r="Y532" s="82"/>
      <c r="Z532" s="82"/>
    </row>
    <row r="533" ht="15.75" customHeight="1">
      <c r="U533" s="82"/>
      <c r="V533" s="82"/>
      <c r="W533" s="82"/>
      <c r="X533" s="82"/>
      <c r="Y533" s="82"/>
      <c r="Z533" s="82"/>
    </row>
    <row r="534" ht="15.75" customHeight="1">
      <c r="U534" s="82"/>
      <c r="V534" s="82"/>
      <c r="W534" s="82"/>
      <c r="X534" s="82"/>
      <c r="Y534" s="82"/>
      <c r="Z534" s="82"/>
    </row>
    <row r="535" ht="15.75" customHeight="1">
      <c r="U535" s="82"/>
      <c r="V535" s="82"/>
      <c r="W535" s="82"/>
      <c r="X535" s="82"/>
      <c r="Y535" s="82"/>
      <c r="Z535" s="82"/>
    </row>
    <row r="536" ht="15.75" customHeight="1">
      <c r="U536" s="82"/>
      <c r="V536" s="82"/>
      <c r="W536" s="82"/>
      <c r="X536" s="82"/>
      <c r="Y536" s="82"/>
      <c r="Z536" s="82"/>
    </row>
    <row r="537" ht="15.75" customHeight="1">
      <c r="U537" s="82"/>
      <c r="V537" s="82"/>
      <c r="W537" s="82"/>
      <c r="X537" s="82"/>
      <c r="Y537" s="82"/>
      <c r="Z537" s="82"/>
    </row>
    <row r="538" ht="15.75" customHeight="1">
      <c r="U538" s="82"/>
      <c r="V538" s="82"/>
      <c r="W538" s="82"/>
      <c r="X538" s="82"/>
      <c r="Y538" s="82"/>
      <c r="Z538" s="82"/>
    </row>
    <row r="539" ht="15.75" customHeight="1">
      <c r="U539" s="82"/>
      <c r="V539" s="82"/>
      <c r="W539" s="82"/>
      <c r="X539" s="82"/>
      <c r="Y539" s="82"/>
      <c r="Z539" s="82"/>
    </row>
    <row r="540" ht="15.75" customHeight="1">
      <c r="U540" s="82"/>
      <c r="V540" s="82"/>
      <c r="W540" s="82"/>
      <c r="X540" s="82"/>
      <c r="Y540" s="82"/>
      <c r="Z540" s="82"/>
    </row>
    <row r="541" ht="15.75" customHeight="1">
      <c r="U541" s="82"/>
      <c r="V541" s="82"/>
      <c r="W541" s="82"/>
      <c r="X541" s="82"/>
      <c r="Y541" s="82"/>
      <c r="Z541" s="82"/>
    </row>
    <row r="542" ht="15.75" customHeight="1">
      <c r="U542" s="82"/>
      <c r="V542" s="82"/>
      <c r="W542" s="82"/>
      <c r="X542" s="82"/>
      <c r="Y542" s="82"/>
      <c r="Z542" s="82"/>
    </row>
    <row r="543" ht="15.75" customHeight="1">
      <c r="U543" s="82"/>
      <c r="V543" s="82"/>
      <c r="W543" s="82"/>
      <c r="X543" s="82"/>
      <c r="Y543" s="82"/>
      <c r="Z543" s="82"/>
    </row>
    <row r="544" ht="15.75" customHeight="1">
      <c r="U544" s="82"/>
      <c r="V544" s="82"/>
      <c r="W544" s="82"/>
      <c r="X544" s="82"/>
      <c r="Y544" s="82"/>
      <c r="Z544" s="82"/>
    </row>
    <row r="545" ht="15.75" customHeight="1">
      <c r="U545" s="82"/>
      <c r="V545" s="82"/>
      <c r="W545" s="82"/>
      <c r="X545" s="82"/>
      <c r="Y545" s="82"/>
      <c r="Z545" s="82"/>
    </row>
    <row r="546" ht="15.75" customHeight="1">
      <c r="U546" s="82"/>
      <c r="V546" s="82"/>
      <c r="W546" s="82"/>
      <c r="X546" s="82"/>
      <c r="Y546" s="82"/>
      <c r="Z546" s="82"/>
    </row>
    <row r="547" ht="15.75" customHeight="1">
      <c r="U547" s="82"/>
      <c r="V547" s="82"/>
      <c r="W547" s="82"/>
      <c r="X547" s="82"/>
      <c r="Y547" s="82"/>
      <c r="Z547" s="82"/>
    </row>
    <row r="548" ht="15.75" customHeight="1">
      <c r="U548" s="82"/>
      <c r="V548" s="82"/>
      <c r="W548" s="82"/>
      <c r="X548" s="82"/>
      <c r="Y548" s="82"/>
      <c r="Z548" s="82"/>
    </row>
    <row r="549" ht="15.75" customHeight="1">
      <c r="U549" s="82"/>
      <c r="V549" s="82"/>
      <c r="W549" s="82"/>
      <c r="X549" s="82"/>
      <c r="Y549" s="82"/>
      <c r="Z549" s="82"/>
    </row>
    <row r="550" ht="15.75" customHeight="1">
      <c r="U550" s="82"/>
      <c r="V550" s="82"/>
      <c r="W550" s="82"/>
      <c r="X550" s="82"/>
      <c r="Y550" s="82"/>
      <c r="Z550" s="82"/>
    </row>
    <row r="551" ht="15.75" customHeight="1">
      <c r="U551" s="82"/>
      <c r="V551" s="82"/>
      <c r="W551" s="82"/>
      <c r="X551" s="82"/>
      <c r="Y551" s="82"/>
      <c r="Z551" s="82"/>
    </row>
    <row r="552" ht="15.75" customHeight="1">
      <c r="U552" s="82"/>
      <c r="V552" s="82"/>
      <c r="W552" s="82"/>
      <c r="X552" s="82"/>
      <c r="Y552" s="82"/>
      <c r="Z552" s="82"/>
    </row>
    <row r="553" ht="15.75" customHeight="1">
      <c r="U553" s="82"/>
      <c r="V553" s="82"/>
      <c r="W553" s="82"/>
      <c r="X553" s="82"/>
      <c r="Y553" s="82"/>
      <c r="Z553" s="82"/>
    </row>
    <row r="554" ht="15.75" customHeight="1">
      <c r="U554" s="82"/>
      <c r="V554" s="82"/>
      <c r="W554" s="82"/>
      <c r="X554" s="82"/>
      <c r="Y554" s="82"/>
      <c r="Z554" s="82"/>
    </row>
    <row r="555" ht="15.75" customHeight="1">
      <c r="U555" s="82"/>
      <c r="V555" s="82"/>
      <c r="W555" s="82"/>
      <c r="X555" s="82"/>
      <c r="Y555" s="82"/>
      <c r="Z555" s="82"/>
    </row>
    <row r="556" ht="15.75" customHeight="1">
      <c r="U556" s="82"/>
      <c r="V556" s="82"/>
      <c r="W556" s="82"/>
      <c r="X556" s="82"/>
      <c r="Y556" s="82"/>
      <c r="Z556" s="82"/>
    </row>
    <row r="557" ht="15.75" customHeight="1">
      <c r="U557" s="82"/>
      <c r="V557" s="82"/>
      <c r="W557" s="82"/>
      <c r="X557" s="82"/>
      <c r="Y557" s="82"/>
      <c r="Z557" s="82"/>
    </row>
    <row r="558" ht="15.75" customHeight="1">
      <c r="U558" s="82"/>
      <c r="V558" s="82"/>
      <c r="W558" s="82"/>
      <c r="X558" s="82"/>
      <c r="Y558" s="82"/>
      <c r="Z558" s="82"/>
    </row>
    <row r="559" ht="15.75" customHeight="1">
      <c r="U559" s="82"/>
      <c r="V559" s="82"/>
      <c r="W559" s="82"/>
      <c r="X559" s="82"/>
      <c r="Y559" s="82"/>
      <c r="Z559" s="82"/>
    </row>
    <row r="560" ht="15.75" customHeight="1">
      <c r="U560" s="82"/>
      <c r="V560" s="82"/>
      <c r="W560" s="82"/>
      <c r="X560" s="82"/>
      <c r="Y560" s="82"/>
      <c r="Z560" s="82"/>
    </row>
    <row r="561" ht="15.75" customHeight="1">
      <c r="U561" s="82"/>
      <c r="V561" s="82"/>
      <c r="W561" s="82"/>
      <c r="X561" s="82"/>
      <c r="Y561" s="82"/>
      <c r="Z561" s="82"/>
    </row>
    <row r="562" ht="15.75" customHeight="1">
      <c r="U562" s="82"/>
      <c r="V562" s="82"/>
      <c r="W562" s="82"/>
      <c r="X562" s="82"/>
      <c r="Y562" s="82"/>
      <c r="Z562" s="82"/>
    </row>
    <row r="563" ht="15.75" customHeight="1">
      <c r="U563" s="82"/>
      <c r="V563" s="82"/>
      <c r="W563" s="82"/>
      <c r="X563" s="82"/>
      <c r="Y563" s="82"/>
      <c r="Z563" s="82"/>
    </row>
    <row r="564" ht="15.75" customHeight="1">
      <c r="U564" s="82"/>
      <c r="V564" s="82"/>
      <c r="W564" s="82"/>
      <c r="X564" s="82"/>
      <c r="Y564" s="82"/>
      <c r="Z564" s="82"/>
    </row>
    <row r="565" ht="15.75" customHeight="1">
      <c r="U565" s="82"/>
      <c r="V565" s="82"/>
      <c r="W565" s="82"/>
      <c r="X565" s="82"/>
      <c r="Y565" s="82"/>
      <c r="Z565" s="82"/>
    </row>
    <row r="566" ht="15.75" customHeight="1">
      <c r="U566" s="82"/>
      <c r="V566" s="82"/>
      <c r="W566" s="82"/>
      <c r="X566" s="82"/>
      <c r="Y566" s="82"/>
      <c r="Z566" s="82"/>
    </row>
    <row r="567" ht="15.75" customHeight="1">
      <c r="U567" s="82"/>
      <c r="V567" s="82"/>
      <c r="W567" s="82"/>
      <c r="X567" s="82"/>
      <c r="Y567" s="82"/>
      <c r="Z567" s="82"/>
    </row>
    <row r="568" ht="15.75" customHeight="1">
      <c r="U568" s="82"/>
      <c r="V568" s="82"/>
      <c r="W568" s="82"/>
      <c r="X568" s="82"/>
      <c r="Y568" s="82"/>
      <c r="Z568" s="82"/>
    </row>
    <row r="569" ht="15.75" customHeight="1">
      <c r="U569" s="82"/>
      <c r="V569" s="82"/>
      <c r="W569" s="82"/>
      <c r="X569" s="82"/>
      <c r="Y569" s="82"/>
      <c r="Z569" s="82"/>
    </row>
    <row r="570" ht="15.75" customHeight="1">
      <c r="U570" s="82"/>
      <c r="V570" s="82"/>
      <c r="W570" s="82"/>
      <c r="X570" s="82"/>
      <c r="Y570" s="82"/>
      <c r="Z570" s="82"/>
    </row>
    <row r="571" ht="15.75" customHeight="1">
      <c r="U571" s="82"/>
      <c r="V571" s="82"/>
      <c r="W571" s="82"/>
      <c r="X571" s="82"/>
      <c r="Y571" s="82"/>
      <c r="Z571" s="82"/>
    </row>
    <row r="572" ht="15.75" customHeight="1">
      <c r="U572" s="82"/>
      <c r="V572" s="82"/>
      <c r="W572" s="82"/>
      <c r="X572" s="82"/>
      <c r="Y572" s="82"/>
      <c r="Z572" s="82"/>
    </row>
    <row r="573" ht="15.75" customHeight="1">
      <c r="U573" s="82"/>
      <c r="V573" s="82"/>
      <c r="W573" s="82"/>
      <c r="X573" s="82"/>
      <c r="Y573" s="82"/>
      <c r="Z573" s="82"/>
    </row>
    <row r="574" ht="15.75" customHeight="1">
      <c r="U574" s="82"/>
      <c r="V574" s="82"/>
      <c r="W574" s="82"/>
      <c r="X574" s="82"/>
      <c r="Y574" s="82"/>
      <c r="Z574" s="82"/>
    </row>
    <row r="575" ht="15.75" customHeight="1">
      <c r="U575" s="82"/>
      <c r="V575" s="82"/>
      <c r="W575" s="82"/>
      <c r="X575" s="82"/>
      <c r="Y575" s="82"/>
      <c r="Z575" s="82"/>
    </row>
    <row r="576" ht="15.75" customHeight="1">
      <c r="U576" s="82"/>
      <c r="V576" s="82"/>
      <c r="W576" s="82"/>
      <c r="X576" s="82"/>
      <c r="Y576" s="82"/>
      <c r="Z576" s="82"/>
    </row>
    <row r="577" ht="15.75" customHeight="1">
      <c r="U577" s="82"/>
      <c r="V577" s="82"/>
      <c r="W577" s="82"/>
      <c r="X577" s="82"/>
      <c r="Y577" s="82"/>
      <c r="Z577" s="82"/>
    </row>
    <row r="578" ht="15.75" customHeight="1">
      <c r="U578" s="82"/>
      <c r="V578" s="82"/>
      <c r="W578" s="82"/>
      <c r="X578" s="82"/>
      <c r="Y578" s="82"/>
      <c r="Z578" s="82"/>
    </row>
    <row r="579" ht="15.75" customHeight="1">
      <c r="U579" s="82"/>
      <c r="V579" s="82"/>
      <c r="W579" s="82"/>
      <c r="X579" s="82"/>
      <c r="Y579" s="82"/>
      <c r="Z579" s="82"/>
    </row>
    <row r="580" ht="15.75" customHeight="1">
      <c r="U580" s="82"/>
      <c r="V580" s="82"/>
      <c r="W580" s="82"/>
      <c r="X580" s="82"/>
      <c r="Y580" s="82"/>
      <c r="Z580" s="82"/>
    </row>
    <row r="581" ht="15.75" customHeight="1">
      <c r="U581" s="82"/>
      <c r="V581" s="82"/>
      <c r="W581" s="82"/>
      <c r="X581" s="82"/>
      <c r="Y581" s="82"/>
      <c r="Z581" s="82"/>
    </row>
    <row r="582" ht="15.75" customHeight="1">
      <c r="U582" s="82"/>
      <c r="V582" s="82"/>
      <c r="W582" s="82"/>
      <c r="X582" s="82"/>
      <c r="Y582" s="82"/>
      <c r="Z582" s="82"/>
    </row>
    <row r="583" ht="15.75" customHeight="1">
      <c r="U583" s="82"/>
      <c r="V583" s="82"/>
      <c r="W583" s="82"/>
      <c r="X583" s="82"/>
      <c r="Y583" s="82"/>
      <c r="Z583" s="82"/>
    </row>
    <row r="584" ht="15.75" customHeight="1">
      <c r="U584" s="82"/>
      <c r="V584" s="82"/>
      <c r="W584" s="82"/>
      <c r="X584" s="82"/>
      <c r="Y584" s="82"/>
      <c r="Z584" s="82"/>
    </row>
    <row r="585" ht="15.75" customHeight="1">
      <c r="U585" s="82"/>
      <c r="V585" s="82"/>
      <c r="W585" s="82"/>
      <c r="X585" s="82"/>
      <c r="Y585" s="82"/>
      <c r="Z585" s="82"/>
    </row>
    <row r="586" ht="15.75" customHeight="1">
      <c r="U586" s="82"/>
      <c r="V586" s="82"/>
      <c r="W586" s="82"/>
      <c r="X586" s="82"/>
      <c r="Y586" s="82"/>
      <c r="Z586" s="82"/>
    </row>
    <row r="587" ht="15.75" customHeight="1">
      <c r="U587" s="82"/>
      <c r="V587" s="82"/>
      <c r="W587" s="82"/>
      <c r="X587" s="82"/>
      <c r="Y587" s="82"/>
      <c r="Z587" s="82"/>
    </row>
    <row r="588" ht="15.75" customHeight="1">
      <c r="U588" s="82"/>
      <c r="V588" s="82"/>
      <c r="W588" s="82"/>
      <c r="X588" s="82"/>
      <c r="Y588" s="82"/>
      <c r="Z588" s="82"/>
    </row>
    <row r="589" ht="15.75" customHeight="1">
      <c r="U589" s="82"/>
      <c r="V589" s="82"/>
      <c r="W589" s="82"/>
      <c r="X589" s="82"/>
      <c r="Y589" s="82"/>
      <c r="Z589" s="82"/>
    </row>
    <row r="590" ht="15.75" customHeight="1">
      <c r="U590" s="82"/>
      <c r="V590" s="82"/>
      <c r="W590" s="82"/>
      <c r="X590" s="82"/>
      <c r="Y590" s="82"/>
      <c r="Z590" s="82"/>
    </row>
    <row r="591" ht="15.75" customHeight="1">
      <c r="U591" s="82"/>
      <c r="V591" s="82"/>
      <c r="W591" s="82"/>
      <c r="X591" s="82"/>
      <c r="Y591" s="82"/>
      <c r="Z591" s="82"/>
    </row>
    <row r="592" ht="15.75" customHeight="1">
      <c r="U592" s="82"/>
      <c r="V592" s="82"/>
      <c r="W592" s="82"/>
      <c r="X592" s="82"/>
      <c r="Y592" s="82"/>
      <c r="Z592" s="82"/>
    </row>
    <row r="593" ht="15.75" customHeight="1">
      <c r="U593" s="82"/>
      <c r="V593" s="82"/>
      <c r="W593" s="82"/>
      <c r="X593" s="82"/>
      <c r="Y593" s="82"/>
      <c r="Z593" s="82"/>
    </row>
    <row r="594" ht="15.75" customHeight="1">
      <c r="U594" s="82"/>
      <c r="V594" s="82"/>
      <c r="W594" s="82"/>
      <c r="X594" s="82"/>
      <c r="Y594" s="82"/>
      <c r="Z594" s="82"/>
    </row>
    <row r="595" ht="15.75" customHeight="1">
      <c r="U595" s="82"/>
      <c r="V595" s="82"/>
      <c r="W595" s="82"/>
      <c r="X595" s="82"/>
      <c r="Y595" s="82"/>
      <c r="Z595" s="82"/>
    </row>
    <row r="596" ht="15.75" customHeight="1">
      <c r="U596" s="82"/>
      <c r="V596" s="82"/>
      <c r="W596" s="82"/>
      <c r="X596" s="82"/>
      <c r="Y596" s="82"/>
      <c r="Z596" s="82"/>
    </row>
    <row r="597" ht="15.75" customHeight="1">
      <c r="U597" s="82"/>
      <c r="V597" s="82"/>
      <c r="W597" s="82"/>
      <c r="X597" s="82"/>
      <c r="Y597" s="82"/>
      <c r="Z597" s="82"/>
    </row>
    <row r="598" ht="15.75" customHeight="1">
      <c r="U598" s="82"/>
      <c r="V598" s="82"/>
      <c r="W598" s="82"/>
      <c r="X598" s="82"/>
      <c r="Y598" s="82"/>
      <c r="Z598" s="82"/>
    </row>
    <row r="599" ht="15.75" customHeight="1">
      <c r="U599" s="82"/>
      <c r="V599" s="82"/>
      <c r="W599" s="82"/>
      <c r="X599" s="82"/>
      <c r="Y599" s="82"/>
      <c r="Z599" s="82"/>
    </row>
    <row r="600" ht="15.75" customHeight="1">
      <c r="U600" s="82"/>
      <c r="V600" s="82"/>
      <c r="W600" s="82"/>
      <c r="X600" s="82"/>
      <c r="Y600" s="82"/>
      <c r="Z600" s="82"/>
    </row>
    <row r="601" ht="15.75" customHeight="1">
      <c r="U601" s="82"/>
      <c r="V601" s="82"/>
      <c r="W601" s="82"/>
      <c r="X601" s="82"/>
      <c r="Y601" s="82"/>
      <c r="Z601" s="82"/>
    </row>
    <row r="602" ht="15.75" customHeight="1">
      <c r="U602" s="82"/>
      <c r="V602" s="82"/>
      <c r="W602" s="82"/>
      <c r="X602" s="82"/>
      <c r="Y602" s="82"/>
      <c r="Z602" s="82"/>
    </row>
    <row r="603" ht="15.75" customHeight="1">
      <c r="U603" s="82"/>
      <c r="V603" s="82"/>
      <c r="W603" s="82"/>
      <c r="X603" s="82"/>
      <c r="Y603" s="82"/>
      <c r="Z603" s="82"/>
    </row>
    <row r="604" ht="15.75" customHeight="1">
      <c r="U604" s="82"/>
      <c r="V604" s="82"/>
      <c r="W604" s="82"/>
      <c r="X604" s="82"/>
      <c r="Y604" s="82"/>
      <c r="Z604" s="82"/>
    </row>
    <row r="605" ht="15.75" customHeight="1">
      <c r="U605" s="82"/>
      <c r="V605" s="82"/>
      <c r="W605" s="82"/>
      <c r="X605" s="82"/>
      <c r="Y605" s="82"/>
      <c r="Z605" s="82"/>
    </row>
    <row r="606" ht="15.75" customHeight="1">
      <c r="U606" s="82"/>
      <c r="V606" s="82"/>
      <c r="W606" s="82"/>
      <c r="X606" s="82"/>
      <c r="Y606" s="82"/>
      <c r="Z606" s="82"/>
    </row>
    <row r="607" ht="15.75" customHeight="1">
      <c r="U607" s="82"/>
      <c r="V607" s="82"/>
      <c r="W607" s="82"/>
      <c r="X607" s="82"/>
      <c r="Y607" s="82"/>
      <c r="Z607" s="82"/>
    </row>
    <row r="608" ht="15.75" customHeight="1">
      <c r="U608" s="82"/>
      <c r="V608" s="82"/>
      <c r="W608" s="82"/>
      <c r="X608" s="82"/>
      <c r="Y608" s="82"/>
      <c r="Z608" s="82"/>
    </row>
    <row r="609" ht="15.75" customHeight="1">
      <c r="U609" s="82"/>
      <c r="V609" s="82"/>
      <c r="W609" s="82"/>
      <c r="X609" s="82"/>
      <c r="Y609" s="82"/>
      <c r="Z609" s="82"/>
    </row>
    <row r="610" ht="15.75" customHeight="1">
      <c r="U610" s="82"/>
      <c r="V610" s="82"/>
      <c r="W610" s="82"/>
      <c r="X610" s="82"/>
      <c r="Y610" s="82"/>
      <c r="Z610" s="82"/>
    </row>
    <row r="611" ht="15.75" customHeight="1">
      <c r="U611" s="82"/>
      <c r="V611" s="82"/>
      <c r="W611" s="82"/>
      <c r="X611" s="82"/>
      <c r="Y611" s="82"/>
      <c r="Z611" s="82"/>
    </row>
    <row r="612" ht="15.75" customHeight="1">
      <c r="U612" s="82"/>
      <c r="V612" s="82"/>
      <c r="W612" s="82"/>
      <c r="X612" s="82"/>
      <c r="Y612" s="82"/>
      <c r="Z612" s="82"/>
    </row>
    <row r="613" ht="15.75" customHeight="1">
      <c r="U613" s="82"/>
      <c r="V613" s="82"/>
      <c r="W613" s="82"/>
      <c r="X613" s="82"/>
      <c r="Y613" s="82"/>
      <c r="Z613" s="82"/>
    </row>
    <row r="614" ht="15.75" customHeight="1">
      <c r="U614" s="82"/>
      <c r="V614" s="82"/>
      <c r="W614" s="82"/>
      <c r="X614" s="82"/>
      <c r="Y614" s="82"/>
      <c r="Z614" s="82"/>
    </row>
    <row r="615" ht="15.75" customHeight="1">
      <c r="U615" s="82"/>
      <c r="V615" s="82"/>
      <c r="W615" s="82"/>
      <c r="X615" s="82"/>
      <c r="Y615" s="82"/>
      <c r="Z615" s="82"/>
    </row>
    <row r="616" ht="15.75" customHeight="1">
      <c r="U616" s="82"/>
      <c r="V616" s="82"/>
      <c r="W616" s="82"/>
      <c r="X616" s="82"/>
      <c r="Y616" s="82"/>
      <c r="Z616" s="82"/>
    </row>
    <row r="617" ht="15.75" customHeight="1">
      <c r="U617" s="82"/>
      <c r="V617" s="82"/>
      <c r="W617" s="82"/>
      <c r="X617" s="82"/>
      <c r="Y617" s="82"/>
      <c r="Z617" s="82"/>
    </row>
    <row r="618" ht="15.75" customHeight="1">
      <c r="U618" s="82"/>
      <c r="V618" s="82"/>
      <c r="W618" s="82"/>
      <c r="X618" s="82"/>
      <c r="Y618" s="82"/>
      <c r="Z618" s="82"/>
    </row>
    <row r="619" ht="15.75" customHeight="1">
      <c r="U619" s="82"/>
      <c r="V619" s="82"/>
      <c r="W619" s="82"/>
      <c r="X619" s="82"/>
      <c r="Y619" s="82"/>
      <c r="Z619" s="82"/>
    </row>
    <row r="620" ht="15.75" customHeight="1">
      <c r="U620" s="82"/>
      <c r="V620" s="82"/>
      <c r="W620" s="82"/>
      <c r="X620" s="82"/>
      <c r="Y620" s="82"/>
      <c r="Z620" s="82"/>
    </row>
    <row r="621" ht="15.75" customHeight="1">
      <c r="U621" s="82"/>
      <c r="V621" s="82"/>
      <c r="W621" s="82"/>
      <c r="X621" s="82"/>
      <c r="Y621" s="82"/>
      <c r="Z621" s="82"/>
    </row>
    <row r="622" ht="15.75" customHeight="1">
      <c r="U622" s="82"/>
      <c r="V622" s="82"/>
      <c r="W622" s="82"/>
      <c r="X622" s="82"/>
      <c r="Y622" s="82"/>
      <c r="Z622" s="82"/>
    </row>
    <row r="623" ht="15.75" customHeight="1">
      <c r="U623" s="82"/>
      <c r="V623" s="82"/>
      <c r="W623" s="82"/>
      <c r="X623" s="82"/>
      <c r="Y623" s="82"/>
      <c r="Z623" s="82"/>
    </row>
    <row r="624" ht="15.75" customHeight="1">
      <c r="U624" s="82"/>
      <c r="V624" s="82"/>
      <c r="W624" s="82"/>
      <c r="X624" s="82"/>
      <c r="Y624" s="82"/>
      <c r="Z624" s="82"/>
    </row>
    <row r="625" ht="15.75" customHeight="1">
      <c r="U625" s="82"/>
      <c r="V625" s="82"/>
      <c r="W625" s="82"/>
      <c r="X625" s="82"/>
      <c r="Y625" s="82"/>
      <c r="Z625" s="82"/>
    </row>
    <row r="626" ht="15.75" customHeight="1">
      <c r="U626" s="82"/>
      <c r="V626" s="82"/>
      <c r="W626" s="82"/>
      <c r="X626" s="82"/>
      <c r="Y626" s="82"/>
      <c r="Z626" s="82"/>
    </row>
    <row r="627" ht="15.75" customHeight="1">
      <c r="U627" s="82"/>
      <c r="V627" s="82"/>
      <c r="W627" s="82"/>
      <c r="X627" s="82"/>
      <c r="Y627" s="82"/>
      <c r="Z627" s="82"/>
    </row>
    <row r="628" ht="15.75" customHeight="1">
      <c r="U628" s="82"/>
      <c r="V628" s="82"/>
      <c r="W628" s="82"/>
      <c r="X628" s="82"/>
      <c r="Y628" s="82"/>
      <c r="Z628" s="82"/>
    </row>
    <row r="629" ht="15.75" customHeight="1">
      <c r="U629" s="82"/>
      <c r="V629" s="82"/>
      <c r="W629" s="82"/>
      <c r="X629" s="82"/>
      <c r="Y629" s="82"/>
      <c r="Z629" s="82"/>
    </row>
    <row r="630" ht="15.75" customHeight="1">
      <c r="U630" s="82"/>
      <c r="V630" s="82"/>
      <c r="W630" s="82"/>
      <c r="X630" s="82"/>
      <c r="Y630" s="82"/>
      <c r="Z630" s="82"/>
    </row>
    <row r="631" ht="15.75" customHeight="1">
      <c r="U631" s="82"/>
      <c r="V631" s="82"/>
      <c r="W631" s="82"/>
      <c r="X631" s="82"/>
      <c r="Y631" s="82"/>
      <c r="Z631" s="82"/>
    </row>
    <row r="632" ht="15.75" customHeight="1">
      <c r="U632" s="82"/>
      <c r="V632" s="82"/>
      <c r="W632" s="82"/>
      <c r="X632" s="82"/>
      <c r="Y632" s="82"/>
      <c r="Z632" s="82"/>
    </row>
    <row r="633" ht="15.75" customHeight="1">
      <c r="U633" s="82"/>
      <c r="V633" s="82"/>
      <c r="W633" s="82"/>
      <c r="X633" s="82"/>
      <c r="Y633" s="82"/>
      <c r="Z633" s="82"/>
    </row>
    <row r="634" ht="15.75" customHeight="1">
      <c r="U634" s="82"/>
      <c r="V634" s="82"/>
      <c r="W634" s="82"/>
      <c r="X634" s="82"/>
      <c r="Y634" s="82"/>
      <c r="Z634" s="82"/>
    </row>
    <row r="635" ht="15.75" customHeight="1">
      <c r="U635" s="82"/>
      <c r="V635" s="82"/>
      <c r="W635" s="82"/>
      <c r="X635" s="82"/>
      <c r="Y635" s="82"/>
      <c r="Z635" s="82"/>
    </row>
    <row r="636" ht="15.75" customHeight="1">
      <c r="U636" s="82"/>
      <c r="V636" s="82"/>
      <c r="W636" s="82"/>
      <c r="X636" s="82"/>
      <c r="Y636" s="82"/>
      <c r="Z636" s="82"/>
    </row>
    <row r="637" ht="15.75" customHeight="1">
      <c r="U637" s="82"/>
      <c r="V637" s="82"/>
      <c r="W637" s="82"/>
      <c r="X637" s="82"/>
      <c r="Y637" s="82"/>
      <c r="Z637" s="82"/>
    </row>
    <row r="638" ht="15.75" customHeight="1">
      <c r="U638" s="82"/>
      <c r="V638" s="82"/>
      <c r="W638" s="82"/>
      <c r="X638" s="82"/>
      <c r="Y638" s="82"/>
      <c r="Z638" s="82"/>
    </row>
    <row r="639" ht="15.75" customHeight="1">
      <c r="U639" s="82"/>
      <c r="V639" s="82"/>
      <c r="W639" s="82"/>
      <c r="X639" s="82"/>
      <c r="Y639" s="82"/>
      <c r="Z639" s="82"/>
    </row>
    <row r="640" ht="15.75" customHeight="1">
      <c r="U640" s="82"/>
      <c r="V640" s="82"/>
      <c r="W640" s="82"/>
      <c r="X640" s="82"/>
      <c r="Y640" s="82"/>
      <c r="Z640" s="82"/>
    </row>
    <row r="641" ht="15.75" customHeight="1">
      <c r="U641" s="82"/>
      <c r="V641" s="82"/>
      <c r="W641" s="82"/>
      <c r="X641" s="82"/>
      <c r="Y641" s="82"/>
      <c r="Z641" s="82"/>
    </row>
    <row r="642" ht="15.75" customHeight="1">
      <c r="U642" s="82"/>
      <c r="V642" s="82"/>
      <c r="W642" s="82"/>
      <c r="X642" s="82"/>
      <c r="Y642" s="82"/>
      <c r="Z642" s="82"/>
    </row>
    <row r="643" ht="15.75" customHeight="1">
      <c r="U643" s="82"/>
      <c r="V643" s="82"/>
      <c r="W643" s="82"/>
      <c r="X643" s="82"/>
      <c r="Y643" s="82"/>
      <c r="Z643" s="82"/>
    </row>
    <row r="644" ht="15.75" customHeight="1">
      <c r="U644" s="82"/>
      <c r="V644" s="82"/>
      <c r="W644" s="82"/>
      <c r="X644" s="82"/>
      <c r="Y644" s="82"/>
      <c r="Z644" s="82"/>
    </row>
    <row r="645" ht="15.75" customHeight="1">
      <c r="U645" s="82"/>
      <c r="V645" s="82"/>
      <c r="W645" s="82"/>
      <c r="X645" s="82"/>
      <c r="Y645" s="82"/>
      <c r="Z645" s="82"/>
    </row>
    <row r="646" ht="15.75" customHeight="1">
      <c r="U646" s="82"/>
      <c r="V646" s="82"/>
      <c r="W646" s="82"/>
      <c r="X646" s="82"/>
      <c r="Y646" s="82"/>
      <c r="Z646" s="82"/>
    </row>
    <row r="647" ht="15.75" customHeight="1">
      <c r="U647" s="82"/>
      <c r="V647" s="82"/>
      <c r="W647" s="82"/>
      <c r="X647" s="82"/>
      <c r="Y647" s="82"/>
      <c r="Z647" s="82"/>
    </row>
    <row r="648" ht="15.75" customHeight="1">
      <c r="U648" s="82"/>
      <c r="V648" s="82"/>
      <c r="W648" s="82"/>
      <c r="X648" s="82"/>
      <c r="Y648" s="82"/>
      <c r="Z648" s="82"/>
    </row>
    <row r="649" ht="15.75" customHeight="1">
      <c r="U649" s="82"/>
      <c r="V649" s="82"/>
      <c r="W649" s="82"/>
      <c r="X649" s="82"/>
      <c r="Y649" s="82"/>
      <c r="Z649" s="82"/>
    </row>
    <row r="650" ht="15.75" customHeight="1">
      <c r="U650" s="82"/>
      <c r="V650" s="82"/>
      <c r="W650" s="82"/>
      <c r="X650" s="82"/>
      <c r="Y650" s="82"/>
      <c r="Z650" s="82"/>
    </row>
    <row r="651" ht="15.75" customHeight="1">
      <c r="U651" s="82"/>
      <c r="V651" s="82"/>
      <c r="W651" s="82"/>
      <c r="X651" s="82"/>
      <c r="Y651" s="82"/>
      <c r="Z651" s="82"/>
    </row>
    <row r="652" ht="15.75" customHeight="1">
      <c r="U652" s="82"/>
      <c r="V652" s="82"/>
      <c r="W652" s="82"/>
      <c r="X652" s="82"/>
      <c r="Y652" s="82"/>
      <c r="Z652" s="82"/>
    </row>
    <row r="653" ht="15.75" customHeight="1">
      <c r="U653" s="82"/>
      <c r="V653" s="82"/>
      <c r="W653" s="82"/>
      <c r="X653" s="82"/>
      <c r="Y653" s="82"/>
      <c r="Z653" s="82"/>
    </row>
    <row r="654" ht="15.75" customHeight="1">
      <c r="U654" s="82"/>
      <c r="V654" s="82"/>
      <c r="W654" s="82"/>
      <c r="X654" s="82"/>
      <c r="Y654" s="82"/>
      <c r="Z654" s="82"/>
    </row>
    <row r="655" ht="15.75" customHeight="1">
      <c r="U655" s="82"/>
      <c r="V655" s="82"/>
      <c r="W655" s="82"/>
      <c r="X655" s="82"/>
      <c r="Y655" s="82"/>
      <c r="Z655" s="82"/>
    </row>
    <row r="656" ht="15.75" customHeight="1">
      <c r="U656" s="82"/>
      <c r="V656" s="82"/>
      <c r="W656" s="82"/>
      <c r="X656" s="82"/>
      <c r="Y656" s="82"/>
      <c r="Z656" s="82"/>
    </row>
    <row r="657" ht="15.75" customHeight="1">
      <c r="U657" s="82"/>
      <c r="V657" s="82"/>
      <c r="W657" s="82"/>
      <c r="X657" s="82"/>
      <c r="Y657" s="82"/>
      <c r="Z657" s="82"/>
    </row>
    <row r="658" ht="15.75" customHeight="1">
      <c r="U658" s="82"/>
      <c r="V658" s="82"/>
      <c r="W658" s="82"/>
      <c r="X658" s="82"/>
      <c r="Y658" s="82"/>
      <c r="Z658" s="82"/>
    </row>
    <row r="659" ht="15.75" customHeight="1">
      <c r="U659" s="82"/>
      <c r="V659" s="82"/>
      <c r="W659" s="82"/>
      <c r="X659" s="82"/>
      <c r="Y659" s="82"/>
      <c r="Z659" s="82"/>
    </row>
    <row r="660" ht="15.75" customHeight="1">
      <c r="U660" s="82"/>
      <c r="V660" s="82"/>
      <c r="W660" s="82"/>
      <c r="X660" s="82"/>
      <c r="Y660" s="82"/>
      <c r="Z660" s="82"/>
    </row>
    <row r="661" ht="15.75" customHeight="1">
      <c r="U661" s="82"/>
      <c r="V661" s="82"/>
      <c r="W661" s="82"/>
      <c r="X661" s="82"/>
      <c r="Y661" s="82"/>
      <c r="Z661" s="82"/>
    </row>
    <row r="662" ht="15.75" customHeight="1">
      <c r="U662" s="82"/>
      <c r="V662" s="82"/>
      <c r="W662" s="82"/>
      <c r="X662" s="82"/>
      <c r="Y662" s="82"/>
      <c r="Z662" s="82"/>
    </row>
    <row r="663" ht="15.75" customHeight="1">
      <c r="U663" s="82"/>
      <c r="V663" s="82"/>
      <c r="W663" s="82"/>
      <c r="X663" s="82"/>
      <c r="Y663" s="82"/>
      <c r="Z663" s="82"/>
    </row>
    <row r="664" ht="15.75" customHeight="1">
      <c r="U664" s="82"/>
      <c r="V664" s="82"/>
      <c r="W664" s="82"/>
      <c r="X664" s="82"/>
      <c r="Y664" s="82"/>
      <c r="Z664" s="82"/>
    </row>
    <row r="665" ht="15.75" customHeight="1">
      <c r="U665" s="82"/>
      <c r="V665" s="82"/>
      <c r="W665" s="82"/>
      <c r="X665" s="82"/>
      <c r="Y665" s="82"/>
      <c r="Z665" s="82"/>
    </row>
    <row r="666" ht="15.75" customHeight="1">
      <c r="U666" s="82"/>
      <c r="V666" s="82"/>
      <c r="W666" s="82"/>
      <c r="X666" s="82"/>
      <c r="Y666" s="82"/>
      <c r="Z666" s="82"/>
    </row>
    <row r="667" ht="15.75" customHeight="1">
      <c r="U667" s="82"/>
      <c r="V667" s="82"/>
      <c r="W667" s="82"/>
      <c r="X667" s="82"/>
      <c r="Y667" s="82"/>
      <c r="Z667" s="82"/>
    </row>
    <row r="668" ht="15.75" customHeight="1">
      <c r="U668" s="82"/>
      <c r="V668" s="82"/>
      <c r="W668" s="82"/>
      <c r="X668" s="82"/>
      <c r="Y668" s="82"/>
      <c r="Z668" s="82"/>
    </row>
    <row r="669" ht="15.75" customHeight="1">
      <c r="U669" s="82"/>
      <c r="V669" s="82"/>
      <c r="W669" s="82"/>
      <c r="X669" s="82"/>
      <c r="Y669" s="82"/>
      <c r="Z669" s="82"/>
    </row>
    <row r="670" ht="15.75" customHeight="1">
      <c r="U670" s="82"/>
      <c r="V670" s="82"/>
      <c r="W670" s="82"/>
      <c r="X670" s="82"/>
      <c r="Y670" s="82"/>
      <c r="Z670" s="82"/>
    </row>
    <row r="671" ht="15.75" customHeight="1">
      <c r="U671" s="82"/>
      <c r="V671" s="82"/>
      <c r="W671" s="82"/>
      <c r="X671" s="82"/>
      <c r="Y671" s="82"/>
      <c r="Z671" s="82"/>
    </row>
    <row r="672" ht="15.75" customHeight="1">
      <c r="U672" s="82"/>
      <c r="V672" s="82"/>
      <c r="W672" s="82"/>
      <c r="X672" s="82"/>
      <c r="Y672" s="82"/>
      <c r="Z672" s="82"/>
    </row>
    <row r="673" ht="15.75" customHeight="1">
      <c r="U673" s="82"/>
      <c r="V673" s="82"/>
      <c r="W673" s="82"/>
      <c r="X673" s="82"/>
      <c r="Y673" s="82"/>
      <c r="Z673" s="82"/>
    </row>
    <row r="674" ht="15.75" customHeight="1">
      <c r="U674" s="82"/>
      <c r="V674" s="82"/>
      <c r="W674" s="82"/>
      <c r="X674" s="82"/>
      <c r="Y674" s="82"/>
      <c r="Z674" s="82"/>
    </row>
    <row r="675" ht="15.75" customHeight="1">
      <c r="U675" s="82"/>
      <c r="V675" s="82"/>
      <c r="W675" s="82"/>
      <c r="X675" s="82"/>
      <c r="Y675" s="82"/>
      <c r="Z675" s="82"/>
    </row>
    <row r="676" ht="15.75" customHeight="1">
      <c r="U676" s="82"/>
      <c r="V676" s="82"/>
      <c r="W676" s="82"/>
      <c r="X676" s="82"/>
      <c r="Y676" s="82"/>
      <c r="Z676" s="82"/>
    </row>
    <row r="677" ht="15.75" customHeight="1">
      <c r="U677" s="82"/>
      <c r="V677" s="82"/>
      <c r="W677" s="82"/>
      <c r="X677" s="82"/>
      <c r="Y677" s="82"/>
      <c r="Z677" s="82"/>
    </row>
    <row r="678" ht="15.75" customHeight="1">
      <c r="U678" s="82"/>
      <c r="V678" s="82"/>
      <c r="W678" s="82"/>
      <c r="X678" s="82"/>
      <c r="Y678" s="82"/>
      <c r="Z678" s="82"/>
    </row>
    <row r="679" ht="15.75" customHeight="1">
      <c r="U679" s="82"/>
      <c r="V679" s="82"/>
      <c r="W679" s="82"/>
      <c r="X679" s="82"/>
      <c r="Y679" s="82"/>
      <c r="Z679" s="82"/>
    </row>
    <row r="680" ht="15.75" customHeight="1">
      <c r="U680" s="82"/>
      <c r="V680" s="82"/>
      <c r="W680" s="82"/>
      <c r="X680" s="82"/>
      <c r="Y680" s="82"/>
      <c r="Z680" s="82"/>
    </row>
    <row r="681" ht="15.75" customHeight="1">
      <c r="U681" s="82"/>
      <c r="V681" s="82"/>
      <c r="W681" s="82"/>
      <c r="X681" s="82"/>
      <c r="Y681" s="82"/>
      <c r="Z681" s="82"/>
    </row>
    <row r="682" ht="15.75" customHeight="1">
      <c r="U682" s="82"/>
      <c r="V682" s="82"/>
      <c r="W682" s="82"/>
      <c r="X682" s="82"/>
      <c r="Y682" s="82"/>
      <c r="Z682" s="82"/>
    </row>
    <row r="683" ht="15.75" customHeight="1">
      <c r="U683" s="82"/>
      <c r="V683" s="82"/>
      <c r="W683" s="82"/>
      <c r="X683" s="82"/>
      <c r="Y683" s="82"/>
      <c r="Z683" s="82"/>
    </row>
    <row r="684" ht="15.75" customHeight="1">
      <c r="U684" s="82"/>
      <c r="V684" s="82"/>
      <c r="W684" s="82"/>
      <c r="X684" s="82"/>
      <c r="Y684" s="82"/>
      <c r="Z684" s="82"/>
    </row>
    <row r="685" ht="15.75" customHeight="1">
      <c r="U685" s="82"/>
      <c r="V685" s="82"/>
      <c r="W685" s="82"/>
      <c r="X685" s="82"/>
      <c r="Y685" s="82"/>
      <c r="Z685" s="82"/>
    </row>
    <row r="686" ht="15.75" customHeight="1">
      <c r="U686" s="82"/>
      <c r="V686" s="82"/>
      <c r="W686" s="82"/>
      <c r="X686" s="82"/>
      <c r="Y686" s="82"/>
      <c r="Z686" s="82"/>
    </row>
    <row r="687" ht="15.75" customHeight="1">
      <c r="U687" s="82"/>
      <c r="V687" s="82"/>
      <c r="W687" s="82"/>
      <c r="X687" s="82"/>
      <c r="Y687" s="82"/>
      <c r="Z687" s="82"/>
    </row>
    <row r="688" ht="15.75" customHeight="1">
      <c r="U688" s="82"/>
      <c r="V688" s="82"/>
      <c r="W688" s="82"/>
      <c r="X688" s="82"/>
      <c r="Y688" s="82"/>
      <c r="Z688" s="82"/>
    </row>
    <row r="689" ht="15.75" customHeight="1">
      <c r="U689" s="82"/>
      <c r="V689" s="82"/>
      <c r="W689" s="82"/>
      <c r="X689" s="82"/>
      <c r="Y689" s="82"/>
      <c r="Z689" s="82"/>
    </row>
    <row r="690" ht="15.75" customHeight="1">
      <c r="U690" s="82"/>
      <c r="V690" s="82"/>
      <c r="W690" s="82"/>
      <c r="X690" s="82"/>
      <c r="Y690" s="82"/>
      <c r="Z690" s="82"/>
    </row>
    <row r="691" ht="15.75" customHeight="1">
      <c r="U691" s="82"/>
      <c r="V691" s="82"/>
      <c r="W691" s="82"/>
      <c r="X691" s="82"/>
      <c r="Y691" s="82"/>
      <c r="Z691" s="82"/>
    </row>
    <row r="692" ht="15.75" customHeight="1">
      <c r="U692" s="82"/>
      <c r="V692" s="82"/>
      <c r="W692" s="82"/>
      <c r="X692" s="82"/>
      <c r="Y692" s="82"/>
      <c r="Z692" s="82"/>
    </row>
    <row r="693" ht="15.75" customHeight="1">
      <c r="U693" s="82"/>
      <c r="V693" s="82"/>
      <c r="W693" s="82"/>
      <c r="X693" s="82"/>
      <c r="Y693" s="82"/>
      <c r="Z693" s="82"/>
    </row>
    <row r="694" ht="15.75" customHeight="1">
      <c r="U694" s="82"/>
      <c r="V694" s="82"/>
      <c r="W694" s="82"/>
      <c r="X694" s="82"/>
      <c r="Y694" s="82"/>
      <c r="Z694" s="82"/>
    </row>
    <row r="695" ht="15.75" customHeight="1">
      <c r="U695" s="82"/>
      <c r="V695" s="82"/>
      <c r="W695" s="82"/>
      <c r="X695" s="82"/>
      <c r="Y695" s="82"/>
      <c r="Z695" s="82"/>
    </row>
    <row r="696" ht="15.75" customHeight="1">
      <c r="U696" s="82"/>
      <c r="V696" s="82"/>
      <c r="W696" s="82"/>
      <c r="X696" s="82"/>
      <c r="Y696" s="82"/>
      <c r="Z696" s="82"/>
    </row>
    <row r="697" ht="15.75" customHeight="1">
      <c r="U697" s="82"/>
      <c r="V697" s="82"/>
      <c r="W697" s="82"/>
      <c r="X697" s="82"/>
      <c r="Y697" s="82"/>
      <c r="Z697" s="82"/>
    </row>
    <row r="698" ht="15.75" customHeight="1">
      <c r="U698" s="82"/>
      <c r="V698" s="82"/>
      <c r="W698" s="82"/>
      <c r="X698" s="82"/>
      <c r="Y698" s="82"/>
      <c r="Z698" s="82"/>
    </row>
    <row r="699" ht="15.75" customHeight="1">
      <c r="U699" s="82"/>
      <c r="V699" s="82"/>
      <c r="W699" s="82"/>
      <c r="X699" s="82"/>
      <c r="Y699" s="82"/>
      <c r="Z699" s="82"/>
    </row>
    <row r="700" ht="15.75" customHeight="1">
      <c r="U700" s="82"/>
      <c r="V700" s="82"/>
      <c r="W700" s="82"/>
      <c r="X700" s="82"/>
      <c r="Y700" s="82"/>
      <c r="Z700" s="82"/>
    </row>
    <row r="701" ht="15.75" customHeight="1">
      <c r="U701" s="82"/>
      <c r="V701" s="82"/>
      <c r="W701" s="82"/>
      <c r="X701" s="82"/>
      <c r="Y701" s="82"/>
      <c r="Z701" s="82"/>
    </row>
    <row r="702" ht="15.75" customHeight="1">
      <c r="U702" s="82"/>
      <c r="V702" s="82"/>
      <c r="W702" s="82"/>
      <c r="X702" s="82"/>
      <c r="Y702" s="82"/>
      <c r="Z702" s="82"/>
    </row>
    <row r="703" ht="15.75" customHeight="1">
      <c r="U703" s="82"/>
      <c r="V703" s="82"/>
      <c r="W703" s="82"/>
      <c r="X703" s="82"/>
      <c r="Y703" s="82"/>
      <c r="Z703" s="82"/>
    </row>
    <row r="704" ht="15.75" customHeight="1">
      <c r="U704" s="82"/>
      <c r="V704" s="82"/>
      <c r="W704" s="82"/>
      <c r="X704" s="82"/>
      <c r="Y704" s="82"/>
      <c r="Z704" s="82"/>
    </row>
    <row r="705" ht="15.75" customHeight="1">
      <c r="U705" s="82"/>
      <c r="V705" s="82"/>
      <c r="W705" s="82"/>
      <c r="X705" s="82"/>
      <c r="Y705" s="82"/>
      <c r="Z705" s="82"/>
    </row>
    <row r="706" ht="15.75" customHeight="1">
      <c r="U706" s="82"/>
      <c r="V706" s="82"/>
      <c r="W706" s="82"/>
      <c r="X706" s="82"/>
      <c r="Y706" s="82"/>
      <c r="Z706" s="82"/>
    </row>
    <row r="707" ht="15.75" customHeight="1">
      <c r="U707" s="82"/>
      <c r="V707" s="82"/>
      <c r="W707" s="82"/>
      <c r="X707" s="82"/>
      <c r="Y707" s="82"/>
      <c r="Z707" s="82"/>
    </row>
    <row r="708" ht="15.75" customHeight="1">
      <c r="U708" s="82"/>
      <c r="V708" s="82"/>
      <c r="W708" s="82"/>
      <c r="X708" s="82"/>
      <c r="Y708" s="82"/>
      <c r="Z708" s="82"/>
    </row>
    <row r="709" ht="15.75" customHeight="1">
      <c r="U709" s="82"/>
      <c r="V709" s="82"/>
      <c r="W709" s="82"/>
      <c r="X709" s="82"/>
      <c r="Y709" s="82"/>
      <c r="Z709" s="82"/>
    </row>
    <row r="710" ht="15.75" customHeight="1">
      <c r="U710" s="82"/>
      <c r="V710" s="82"/>
      <c r="W710" s="82"/>
      <c r="X710" s="82"/>
      <c r="Y710" s="82"/>
      <c r="Z710" s="82"/>
    </row>
    <row r="711" ht="15.75" customHeight="1">
      <c r="U711" s="82"/>
      <c r="V711" s="82"/>
      <c r="W711" s="82"/>
      <c r="X711" s="82"/>
      <c r="Y711" s="82"/>
      <c r="Z711" s="82"/>
    </row>
    <row r="712" ht="15.75" customHeight="1">
      <c r="U712" s="82"/>
      <c r="V712" s="82"/>
      <c r="W712" s="82"/>
      <c r="X712" s="82"/>
      <c r="Y712" s="82"/>
      <c r="Z712" s="82"/>
    </row>
    <row r="713" ht="15.75" customHeight="1">
      <c r="U713" s="82"/>
      <c r="V713" s="82"/>
      <c r="W713" s="82"/>
      <c r="X713" s="82"/>
      <c r="Y713" s="82"/>
      <c r="Z713" s="82"/>
    </row>
    <row r="714" ht="15.75" customHeight="1">
      <c r="U714" s="82"/>
      <c r="V714" s="82"/>
      <c r="W714" s="82"/>
      <c r="X714" s="82"/>
      <c r="Y714" s="82"/>
      <c r="Z714" s="82"/>
    </row>
    <row r="715" ht="15.75" customHeight="1">
      <c r="U715" s="82"/>
      <c r="V715" s="82"/>
      <c r="W715" s="82"/>
      <c r="X715" s="82"/>
      <c r="Y715" s="82"/>
      <c r="Z715" s="82"/>
    </row>
    <row r="716" ht="15.75" customHeight="1">
      <c r="U716" s="82"/>
      <c r="V716" s="82"/>
      <c r="W716" s="82"/>
      <c r="X716" s="82"/>
      <c r="Y716" s="82"/>
      <c r="Z716" s="82"/>
    </row>
    <row r="717" ht="15.75" customHeight="1">
      <c r="U717" s="82"/>
      <c r="V717" s="82"/>
      <c r="W717" s="82"/>
      <c r="X717" s="82"/>
      <c r="Y717" s="82"/>
      <c r="Z717" s="82"/>
    </row>
    <row r="718" ht="15.75" customHeight="1">
      <c r="U718" s="82"/>
      <c r="V718" s="82"/>
      <c r="W718" s="82"/>
      <c r="X718" s="82"/>
      <c r="Y718" s="82"/>
      <c r="Z718" s="82"/>
    </row>
    <row r="719" ht="15.75" customHeight="1">
      <c r="U719" s="82"/>
      <c r="V719" s="82"/>
      <c r="W719" s="82"/>
      <c r="X719" s="82"/>
      <c r="Y719" s="82"/>
      <c r="Z719" s="82"/>
    </row>
    <row r="720" ht="15.75" customHeight="1">
      <c r="U720" s="82"/>
      <c r="V720" s="82"/>
      <c r="W720" s="82"/>
      <c r="X720" s="82"/>
      <c r="Y720" s="82"/>
      <c r="Z720" s="82"/>
    </row>
    <row r="721" ht="15.75" customHeight="1">
      <c r="U721" s="82"/>
      <c r="V721" s="82"/>
      <c r="W721" s="82"/>
      <c r="X721" s="82"/>
      <c r="Y721" s="82"/>
      <c r="Z721" s="82"/>
    </row>
    <row r="722" ht="15.75" customHeight="1">
      <c r="U722" s="82"/>
      <c r="V722" s="82"/>
      <c r="W722" s="82"/>
      <c r="X722" s="82"/>
      <c r="Y722" s="82"/>
      <c r="Z722" s="82"/>
    </row>
    <row r="723" ht="15.75" customHeight="1">
      <c r="U723" s="82"/>
      <c r="V723" s="82"/>
      <c r="W723" s="82"/>
      <c r="X723" s="82"/>
      <c r="Y723" s="82"/>
      <c r="Z723" s="82"/>
    </row>
    <row r="724" ht="15.75" customHeight="1">
      <c r="U724" s="82"/>
      <c r="V724" s="82"/>
      <c r="W724" s="82"/>
      <c r="X724" s="82"/>
      <c r="Y724" s="82"/>
      <c r="Z724" s="82"/>
    </row>
    <row r="725" ht="15.75" customHeight="1">
      <c r="U725" s="82"/>
      <c r="V725" s="82"/>
      <c r="W725" s="82"/>
      <c r="X725" s="82"/>
      <c r="Y725" s="82"/>
      <c r="Z725" s="82"/>
    </row>
    <row r="726" ht="15.75" customHeight="1">
      <c r="U726" s="82"/>
      <c r="V726" s="82"/>
      <c r="W726" s="82"/>
      <c r="X726" s="82"/>
      <c r="Y726" s="82"/>
      <c r="Z726" s="82"/>
    </row>
    <row r="727" ht="15.75" customHeight="1">
      <c r="U727" s="82"/>
      <c r="V727" s="82"/>
      <c r="W727" s="82"/>
      <c r="X727" s="82"/>
      <c r="Y727" s="82"/>
      <c r="Z727" s="82"/>
    </row>
    <row r="728" ht="15.75" customHeight="1">
      <c r="U728" s="82"/>
      <c r="V728" s="82"/>
      <c r="W728" s="82"/>
      <c r="X728" s="82"/>
      <c r="Y728" s="82"/>
      <c r="Z728" s="82"/>
    </row>
    <row r="729" ht="15.75" customHeight="1">
      <c r="U729" s="82"/>
      <c r="V729" s="82"/>
      <c r="W729" s="82"/>
      <c r="X729" s="82"/>
      <c r="Y729" s="82"/>
      <c r="Z729" s="82"/>
    </row>
    <row r="730" ht="15.75" customHeight="1">
      <c r="U730" s="82"/>
      <c r="V730" s="82"/>
      <c r="W730" s="82"/>
      <c r="X730" s="82"/>
      <c r="Y730" s="82"/>
      <c r="Z730" s="82"/>
    </row>
    <row r="731" ht="15.75" customHeight="1">
      <c r="U731" s="82"/>
      <c r="V731" s="82"/>
      <c r="W731" s="82"/>
      <c r="X731" s="82"/>
      <c r="Y731" s="82"/>
      <c r="Z731" s="82"/>
    </row>
    <row r="732" ht="15.75" customHeight="1">
      <c r="U732" s="82"/>
      <c r="V732" s="82"/>
      <c r="W732" s="82"/>
      <c r="X732" s="82"/>
      <c r="Y732" s="82"/>
      <c r="Z732" s="82"/>
    </row>
    <row r="733" ht="15.75" customHeight="1">
      <c r="U733" s="82"/>
      <c r="V733" s="82"/>
      <c r="W733" s="82"/>
      <c r="X733" s="82"/>
      <c r="Y733" s="82"/>
      <c r="Z733" s="82"/>
    </row>
    <row r="734" ht="15.75" customHeight="1">
      <c r="U734" s="82"/>
      <c r="V734" s="82"/>
      <c r="W734" s="82"/>
      <c r="X734" s="82"/>
      <c r="Y734" s="82"/>
      <c r="Z734" s="82"/>
    </row>
    <row r="735" ht="15.75" customHeight="1">
      <c r="U735" s="82"/>
      <c r="V735" s="82"/>
      <c r="W735" s="82"/>
      <c r="X735" s="82"/>
      <c r="Y735" s="82"/>
      <c r="Z735" s="82"/>
    </row>
    <row r="736" ht="15.75" customHeight="1">
      <c r="U736" s="82"/>
      <c r="V736" s="82"/>
      <c r="W736" s="82"/>
      <c r="X736" s="82"/>
      <c r="Y736" s="82"/>
      <c r="Z736" s="82"/>
    </row>
    <row r="737" ht="15.75" customHeight="1">
      <c r="U737" s="82"/>
      <c r="V737" s="82"/>
      <c r="W737" s="82"/>
      <c r="X737" s="82"/>
      <c r="Y737" s="82"/>
      <c r="Z737" s="82"/>
    </row>
    <row r="738" ht="15.75" customHeight="1">
      <c r="U738" s="82"/>
      <c r="V738" s="82"/>
      <c r="W738" s="82"/>
      <c r="X738" s="82"/>
      <c r="Y738" s="82"/>
      <c r="Z738" s="82"/>
    </row>
    <row r="739" ht="15.75" customHeight="1">
      <c r="U739" s="82"/>
      <c r="V739" s="82"/>
      <c r="W739" s="82"/>
      <c r="X739" s="82"/>
      <c r="Y739" s="82"/>
      <c r="Z739" s="82"/>
    </row>
    <row r="740" ht="15.75" customHeight="1">
      <c r="U740" s="82"/>
      <c r="V740" s="82"/>
      <c r="W740" s="82"/>
      <c r="X740" s="82"/>
      <c r="Y740" s="82"/>
      <c r="Z740" s="82"/>
    </row>
    <row r="741" ht="15.75" customHeight="1">
      <c r="U741" s="82"/>
      <c r="V741" s="82"/>
      <c r="W741" s="82"/>
      <c r="X741" s="82"/>
      <c r="Y741" s="82"/>
      <c r="Z741" s="82"/>
    </row>
    <row r="742" ht="15.75" customHeight="1">
      <c r="U742" s="82"/>
      <c r="V742" s="82"/>
      <c r="W742" s="82"/>
      <c r="X742" s="82"/>
      <c r="Y742" s="82"/>
      <c r="Z742" s="82"/>
    </row>
    <row r="743" ht="15.75" customHeight="1">
      <c r="U743" s="82"/>
      <c r="V743" s="82"/>
      <c r="W743" s="82"/>
      <c r="X743" s="82"/>
      <c r="Y743" s="82"/>
      <c r="Z743" s="82"/>
    </row>
    <row r="744" ht="15.75" customHeight="1">
      <c r="U744" s="82"/>
      <c r="V744" s="82"/>
      <c r="W744" s="82"/>
      <c r="X744" s="82"/>
      <c r="Y744" s="82"/>
      <c r="Z744" s="82"/>
    </row>
    <row r="745" ht="15.75" customHeight="1">
      <c r="U745" s="82"/>
      <c r="V745" s="82"/>
      <c r="W745" s="82"/>
      <c r="X745" s="82"/>
      <c r="Y745" s="82"/>
      <c r="Z745" s="82"/>
    </row>
    <row r="746" ht="15.75" customHeight="1">
      <c r="U746" s="82"/>
      <c r="V746" s="82"/>
      <c r="W746" s="82"/>
      <c r="X746" s="82"/>
      <c r="Y746" s="82"/>
      <c r="Z746" s="82"/>
    </row>
    <row r="747" ht="15.75" customHeight="1">
      <c r="U747" s="82"/>
      <c r="V747" s="82"/>
      <c r="W747" s="82"/>
      <c r="X747" s="82"/>
      <c r="Y747" s="82"/>
      <c r="Z747" s="82"/>
    </row>
    <row r="748" ht="15.75" customHeight="1">
      <c r="U748" s="82"/>
      <c r="V748" s="82"/>
      <c r="W748" s="82"/>
      <c r="X748" s="82"/>
      <c r="Y748" s="82"/>
      <c r="Z748" s="82"/>
    </row>
    <row r="749" ht="15.75" customHeight="1">
      <c r="U749" s="82"/>
      <c r="V749" s="82"/>
      <c r="W749" s="82"/>
      <c r="X749" s="82"/>
      <c r="Y749" s="82"/>
      <c r="Z749" s="82"/>
    </row>
    <row r="750" ht="15.75" customHeight="1">
      <c r="U750" s="82"/>
      <c r="V750" s="82"/>
      <c r="W750" s="82"/>
      <c r="X750" s="82"/>
      <c r="Y750" s="82"/>
      <c r="Z750" s="82"/>
    </row>
    <row r="751" ht="15.75" customHeight="1">
      <c r="U751" s="82"/>
      <c r="V751" s="82"/>
      <c r="W751" s="82"/>
      <c r="X751" s="82"/>
      <c r="Y751" s="82"/>
      <c r="Z751" s="82"/>
    </row>
    <row r="752" ht="15.75" customHeight="1">
      <c r="U752" s="82"/>
      <c r="V752" s="82"/>
      <c r="W752" s="82"/>
      <c r="X752" s="82"/>
      <c r="Y752" s="82"/>
      <c r="Z752" s="82"/>
    </row>
    <row r="753" ht="15.75" customHeight="1">
      <c r="U753" s="82"/>
      <c r="V753" s="82"/>
      <c r="W753" s="82"/>
      <c r="X753" s="82"/>
      <c r="Y753" s="82"/>
      <c r="Z753" s="82"/>
    </row>
    <row r="754" ht="15.75" customHeight="1">
      <c r="U754" s="82"/>
      <c r="V754" s="82"/>
      <c r="W754" s="82"/>
      <c r="X754" s="82"/>
      <c r="Y754" s="82"/>
      <c r="Z754" s="82"/>
    </row>
    <row r="755" ht="15.75" customHeight="1">
      <c r="U755" s="82"/>
      <c r="V755" s="82"/>
      <c r="W755" s="82"/>
      <c r="X755" s="82"/>
      <c r="Y755" s="82"/>
      <c r="Z755" s="82"/>
    </row>
    <row r="756" ht="15.75" customHeight="1">
      <c r="U756" s="82"/>
      <c r="V756" s="82"/>
      <c r="W756" s="82"/>
      <c r="X756" s="82"/>
      <c r="Y756" s="82"/>
      <c r="Z756" s="82"/>
    </row>
    <row r="757" ht="15.75" customHeight="1">
      <c r="U757" s="82"/>
      <c r="V757" s="82"/>
      <c r="W757" s="82"/>
      <c r="X757" s="82"/>
      <c r="Y757" s="82"/>
      <c r="Z757" s="82"/>
    </row>
    <row r="758" ht="15.75" customHeight="1">
      <c r="U758" s="82"/>
      <c r="V758" s="82"/>
      <c r="W758" s="82"/>
      <c r="X758" s="82"/>
      <c r="Y758" s="82"/>
      <c r="Z758" s="82"/>
    </row>
    <row r="759" ht="15.75" customHeight="1">
      <c r="U759" s="82"/>
      <c r="V759" s="82"/>
      <c r="W759" s="82"/>
      <c r="X759" s="82"/>
      <c r="Y759" s="82"/>
      <c r="Z759" s="82"/>
    </row>
    <row r="760" ht="15.75" customHeight="1">
      <c r="U760" s="82"/>
      <c r="V760" s="82"/>
      <c r="W760" s="82"/>
      <c r="X760" s="82"/>
      <c r="Y760" s="82"/>
      <c r="Z760" s="82"/>
    </row>
    <row r="761" ht="15.75" customHeight="1">
      <c r="U761" s="82"/>
      <c r="V761" s="82"/>
      <c r="W761" s="82"/>
      <c r="X761" s="82"/>
      <c r="Y761" s="82"/>
      <c r="Z761" s="82"/>
    </row>
    <row r="762" ht="15.75" customHeight="1">
      <c r="U762" s="82"/>
      <c r="V762" s="82"/>
      <c r="W762" s="82"/>
      <c r="X762" s="82"/>
      <c r="Y762" s="82"/>
      <c r="Z762" s="82"/>
    </row>
    <row r="763" ht="15.75" customHeight="1">
      <c r="U763" s="82"/>
      <c r="V763" s="82"/>
      <c r="W763" s="82"/>
      <c r="X763" s="82"/>
      <c r="Y763" s="82"/>
      <c r="Z763" s="82"/>
    </row>
    <row r="764" ht="15.75" customHeight="1">
      <c r="U764" s="82"/>
      <c r="V764" s="82"/>
      <c r="W764" s="82"/>
      <c r="X764" s="82"/>
      <c r="Y764" s="82"/>
      <c r="Z764" s="82"/>
    </row>
    <row r="765" ht="15.75" customHeight="1">
      <c r="U765" s="82"/>
      <c r="V765" s="82"/>
      <c r="W765" s="82"/>
      <c r="X765" s="82"/>
      <c r="Y765" s="82"/>
      <c r="Z765" s="82"/>
    </row>
    <row r="766" ht="15.75" customHeight="1">
      <c r="U766" s="82"/>
      <c r="V766" s="82"/>
      <c r="W766" s="82"/>
      <c r="X766" s="82"/>
      <c r="Y766" s="82"/>
      <c r="Z766" s="82"/>
    </row>
    <row r="767" ht="15.75" customHeight="1">
      <c r="U767" s="82"/>
      <c r="V767" s="82"/>
      <c r="W767" s="82"/>
      <c r="X767" s="82"/>
      <c r="Y767" s="82"/>
      <c r="Z767" s="82"/>
    </row>
    <row r="768" ht="15.75" customHeight="1">
      <c r="U768" s="82"/>
      <c r="V768" s="82"/>
      <c r="W768" s="82"/>
      <c r="X768" s="82"/>
      <c r="Y768" s="82"/>
      <c r="Z768" s="82"/>
    </row>
    <row r="769" ht="15.75" customHeight="1">
      <c r="U769" s="82"/>
      <c r="V769" s="82"/>
      <c r="W769" s="82"/>
      <c r="X769" s="82"/>
      <c r="Y769" s="82"/>
      <c r="Z769" s="82"/>
    </row>
    <row r="770" ht="15.75" customHeight="1">
      <c r="U770" s="82"/>
      <c r="V770" s="82"/>
      <c r="W770" s="82"/>
      <c r="X770" s="82"/>
      <c r="Y770" s="82"/>
      <c r="Z770" s="82"/>
    </row>
    <row r="771" ht="15.75" customHeight="1">
      <c r="U771" s="82"/>
      <c r="V771" s="82"/>
      <c r="W771" s="82"/>
      <c r="X771" s="82"/>
      <c r="Y771" s="82"/>
      <c r="Z771" s="82"/>
    </row>
    <row r="772" ht="15.75" customHeight="1">
      <c r="U772" s="82"/>
      <c r="V772" s="82"/>
      <c r="W772" s="82"/>
      <c r="X772" s="82"/>
      <c r="Y772" s="82"/>
      <c r="Z772" s="82"/>
    </row>
    <row r="773" ht="15.75" customHeight="1">
      <c r="U773" s="82"/>
      <c r="V773" s="82"/>
      <c r="W773" s="82"/>
      <c r="X773" s="82"/>
      <c r="Y773" s="82"/>
      <c r="Z773" s="82"/>
    </row>
    <row r="774" ht="15.75" customHeight="1">
      <c r="U774" s="82"/>
      <c r="V774" s="82"/>
      <c r="W774" s="82"/>
      <c r="X774" s="82"/>
      <c r="Y774" s="82"/>
      <c r="Z774" s="82"/>
    </row>
    <row r="775" ht="15.75" customHeight="1">
      <c r="U775" s="82"/>
      <c r="V775" s="82"/>
      <c r="W775" s="82"/>
      <c r="X775" s="82"/>
      <c r="Y775" s="82"/>
      <c r="Z775" s="82"/>
    </row>
    <row r="776" ht="15.75" customHeight="1">
      <c r="U776" s="82"/>
      <c r="V776" s="82"/>
      <c r="W776" s="82"/>
      <c r="X776" s="82"/>
      <c r="Y776" s="82"/>
      <c r="Z776" s="82"/>
    </row>
    <row r="777" ht="15.75" customHeight="1">
      <c r="U777" s="82"/>
      <c r="V777" s="82"/>
      <c r="W777" s="82"/>
      <c r="X777" s="82"/>
      <c r="Y777" s="82"/>
      <c r="Z777" s="82"/>
    </row>
    <row r="778" ht="15.75" customHeight="1">
      <c r="U778" s="82"/>
      <c r="V778" s="82"/>
      <c r="W778" s="82"/>
      <c r="X778" s="82"/>
      <c r="Y778" s="82"/>
      <c r="Z778" s="82"/>
    </row>
    <row r="779" ht="15.75" customHeight="1">
      <c r="U779" s="82"/>
      <c r="V779" s="82"/>
      <c r="W779" s="82"/>
      <c r="X779" s="82"/>
      <c r="Y779" s="82"/>
      <c r="Z779" s="82"/>
    </row>
    <row r="780" ht="15.75" customHeight="1">
      <c r="U780" s="82"/>
      <c r="V780" s="82"/>
      <c r="W780" s="82"/>
      <c r="X780" s="82"/>
      <c r="Y780" s="82"/>
      <c r="Z780" s="82"/>
    </row>
    <row r="781" ht="15.75" customHeight="1">
      <c r="U781" s="82"/>
      <c r="V781" s="82"/>
      <c r="W781" s="82"/>
      <c r="X781" s="82"/>
      <c r="Y781" s="82"/>
      <c r="Z781" s="82"/>
    </row>
    <row r="782" ht="15.75" customHeight="1">
      <c r="U782" s="82"/>
      <c r="V782" s="82"/>
      <c r="W782" s="82"/>
      <c r="X782" s="82"/>
      <c r="Y782" s="82"/>
      <c r="Z782" s="82"/>
    </row>
    <row r="783" ht="15.75" customHeight="1">
      <c r="U783" s="82"/>
      <c r="V783" s="82"/>
      <c r="W783" s="82"/>
      <c r="X783" s="82"/>
      <c r="Y783" s="82"/>
      <c r="Z783" s="82"/>
    </row>
    <row r="784" ht="15.75" customHeight="1">
      <c r="U784" s="82"/>
      <c r="V784" s="82"/>
      <c r="W784" s="82"/>
      <c r="X784" s="82"/>
      <c r="Y784" s="82"/>
      <c r="Z784" s="82"/>
    </row>
    <row r="785" ht="15.75" customHeight="1">
      <c r="U785" s="82"/>
      <c r="V785" s="82"/>
      <c r="W785" s="82"/>
      <c r="X785" s="82"/>
      <c r="Y785" s="82"/>
      <c r="Z785" s="82"/>
    </row>
    <row r="786" ht="15.75" customHeight="1">
      <c r="U786" s="82"/>
      <c r="V786" s="82"/>
      <c r="W786" s="82"/>
      <c r="X786" s="82"/>
      <c r="Y786" s="82"/>
      <c r="Z786" s="82"/>
    </row>
    <row r="787" ht="15.75" customHeight="1">
      <c r="U787" s="82"/>
      <c r="V787" s="82"/>
      <c r="W787" s="82"/>
      <c r="X787" s="82"/>
      <c r="Y787" s="82"/>
      <c r="Z787" s="82"/>
    </row>
    <row r="788" ht="15.75" customHeight="1">
      <c r="U788" s="82"/>
      <c r="V788" s="82"/>
      <c r="W788" s="82"/>
      <c r="X788" s="82"/>
      <c r="Y788" s="82"/>
      <c r="Z788" s="82"/>
    </row>
    <row r="789" ht="15.75" customHeight="1">
      <c r="U789" s="82"/>
      <c r="V789" s="82"/>
      <c r="W789" s="82"/>
      <c r="X789" s="82"/>
      <c r="Y789" s="82"/>
      <c r="Z789" s="82"/>
    </row>
    <row r="790" ht="15.75" customHeight="1">
      <c r="U790" s="82"/>
      <c r="V790" s="82"/>
      <c r="W790" s="82"/>
      <c r="X790" s="82"/>
      <c r="Y790" s="82"/>
      <c r="Z790" s="82"/>
    </row>
    <row r="791" ht="15.75" customHeight="1">
      <c r="U791" s="82"/>
      <c r="V791" s="82"/>
      <c r="W791" s="82"/>
      <c r="X791" s="82"/>
      <c r="Y791" s="82"/>
      <c r="Z791" s="82"/>
    </row>
    <row r="792" ht="15.75" customHeight="1">
      <c r="U792" s="82"/>
      <c r="V792" s="82"/>
      <c r="W792" s="82"/>
      <c r="X792" s="82"/>
      <c r="Y792" s="82"/>
      <c r="Z792" s="82"/>
    </row>
    <row r="793" ht="15.75" customHeight="1">
      <c r="U793" s="82"/>
      <c r="V793" s="82"/>
      <c r="W793" s="82"/>
      <c r="X793" s="82"/>
      <c r="Y793" s="82"/>
      <c r="Z793" s="82"/>
    </row>
    <row r="794" ht="15.75" customHeight="1">
      <c r="U794" s="82"/>
      <c r="V794" s="82"/>
      <c r="W794" s="82"/>
      <c r="X794" s="82"/>
      <c r="Y794" s="82"/>
      <c r="Z794" s="82"/>
    </row>
    <row r="795" ht="15.75" customHeight="1">
      <c r="U795" s="82"/>
      <c r="V795" s="82"/>
      <c r="W795" s="82"/>
      <c r="X795" s="82"/>
      <c r="Y795" s="82"/>
      <c r="Z795" s="82"/>
    </row>
    <row r="796" ht="15.75" customHeight="1">
      <c r="U796" s="82"/>
      <c r="V796" s="82"/>
      <c r="W796" s="82"/>
      <c r="X796" s="82"/>
      <c r="Y796" s="82"/>
      <c r="Z796" s="82"/>
    </row>
    <row r="797" ht="15.75" customHeight="1">
      <c r="U797" s="82"/>
      <c r="V797" s="82"/>
      <c r="W797" s="82"/>
      <c r="X797" s="82"/>
      <c r="Y797" s="82"/>
      <c r="Z797" s="82"/>
    </row>
    <row r="798" ht="15.75" customHeight="1">
      <c r="U798" s="82"/>
      <c r="V798" s="82"/>
      <c r="W798" s="82"/>
      <c r="X798" s="82"/>
      <c r="Y798" s="82"/>
      <c r="Z798" s="82"/>
    </row>
    <row r="799" ht="15.75" customHeight="1">
      <c r="U799" s="82"/>
      <c r="V799" s="82"/>
      <c r="W799" s="82"/>
      <c r="X799" s="82"/>
      <c r="Y799" s="82"/>
      <c r="Z799" s="82"/>
    </row>
    <row r="800" ht="15.75" customHeight="1">
      <c r="U800" s="82"/>
      <c r="V800" s="82"/>
      <c r="W800" s="82"/>
      <c r="X800" s="82"/>
      <c r="Y800" s="82"/>
      <c r="Z800" s="82"/>
    </row>
    <row r="801" ht="15.75" customHeight="1">
      <c r="U801" s="82"/>
      <c r="V801" s="82"/>
      <c r="W801" s="82"/>
      <c r="X801" s="82"/>
      <c r="Y801" s="82"/>
      <c r="Z801" s="82"/>
    </row>
    <row r="802" ht="15.75" customHeight="1">
      <c r="U802" s="82"/>
      <c r="V802" s="82"/>
      <c r="W802" s="82"/>
      <c r="X802" s="82"/>
      <c r="Y802" s="82"/>
      <c r="Z802" s="82"/>
    </row>
    <row r="803" ht="15.75" customHeight="1">
      <c r="U803" s="82"/>
      <c r="V803" s="82"/>
      <c r="W803" s="82"/>
      <c r="X803" s="82"/>
      <c r="Y803" s="82"/>
      <c r="Z803" s="82"/>
    </row>
    <row r="804" ht="15.75" customHeight="1">
      <c r="U804" s="82"/>
      <c r="V804" s="82"/>
      <c r="W804" s="82"/>
      <c r="X804" s="82"/>
      <c r="Y804" s="82"/>
      <c r="Z804" s="82"/>
    </row>
    <row r="805" ht="15.75" customHeight="1">
      <c r="U805" s="82"/>
      <c r="V805" s="82"/>
      <c r="W805" s="82"/>
      <c r="X805" s="82"/>
      <c r="Y805" s="82"/>
      <c r="Z805" s="82"/>
    </row>
    <row r="806" ht="15.75" customHeight="1">
      <c r="U806" s="82"/>
      <c r="V806" s="82"/>
      <c r="W806" s="82"/>
      <c r="X806" s="82"/>
      <c r="Y806" s="82"/>
      <c r="Z806" s="82"/>
    </row>
    <row r="807" ht="15.75" customHeight="1">
      <c r="U807" s="82"/>
      <c r="V807" s="82"/>
      <c r="W807" s="82"/>
      <c r="X807" s="82"/>
      <c r="Y807" s="82"/>
      <c r="Z807" s="82"/>
    </row>
    <row r="808" ht="15.75" customHeight="1">
      <c r="U808" s="82"/>
      <c r="V808" s="82"/>
      <c r="W808" s="82"/>
      <c r="X808" s="82"/>
      <c r="Y808" s="82"/>
      <c r="Z808" s="82"/>
    </row>
    <row r="809" ht="15.75" customHeight="1">
      <c r="U809" s="82"/>
      <c r="V809" s="82"/>
      <c r="W809" s="82"/>
      <c r="X809" s="82"/>
      <c r="Y809" s="82"/>
      <c r="Z809" s="82"/>
    </row>
    <row r="810" ht="15.75" customHeight="1">
      <c r="U810" s="82"/>
      <c r="V810" s="82"/>
      <c r="W810" s="82"/>
      <c r="X810" s="82"/>
      <c r="Y810" s="82"/>
      <c r="Z810" s="82"/>
    </row>
    <row r="811" ht="15.75" customHeight="1">
      <c r="U811" s="82"/>
      <c r="V811" s="82"/>
      <c r="W811" s="82"/>
      <c r="X811" s="82"/>
      <c r="Y811" s="82"/>
      <c r="Z811" s="82"/>
    </row>
    <row r="812" ht="15.75" customHeight="1">
      <c r="U812" s="82"/>
      <c r="V812" s="82"/>
      <c r="W812" s="82"/>
      <c r="X812" s="82"/>
      <c r="Y812" s="82"/>
      <c r="Z812" s="82"/>
    </row>
    <row r="813" ht="15.75" customHeight="1">
      <c r="U813" s="82"/>
      <c r="V813" s="82"/>
      <c r="W813" s="82"/>
      <c r="X813" s="82"/>
      <c r="Y813" s="82"/>
      <c r="Z813" s="82"/>
    </row>
    <row r="814" ht="15.75" customHeight="1">
      <c r="U814" s="82"/>
      <c r="V814" s="82"/>
      <c r="W814" s="82"/>
      <c r="X814" s="82"/>
      <c r="Y814" s="82"/>
      <c r="Z814" s="82"/>
    </row>
    <row r="815" ht="15.75" customHeight="1">
      <c r="U815" s="82"/>
      <c r="V815" s="82"/>
      <c r="W815" s="82"/>
      <c r="X815" s="82"/>
      <c r="Y815" s="82"/>
      <c r="Z815" s="82"/>
    </row>
    <row r="816" ht="15.75" customHeight="1">
      <c r="U816" s="82"/>
      <c r="V816" s="82"/>
      <c r="W816" s="82"/>
      <c r="X816" s="82"/>
      <c r="Y816" s="82"/>
      <c r="Z816" s="82"/>
    </row>
    <row r="817" ht="15.75" customHeight="1">
      <c r="U817" s="82"/>
      <c r="V817" s="82"/>
      <c r="W817" s="82"/>
      <c r="X817" s="82"/>
      <c r="Y817" s="82"/>
      <c r="Z817" s="82"/>
    </row>
    <row r="818" ht="15.75" customHeight="1">
      <c r="U818" s="82"/>
      <c r="V818" s="82"/>
      <c r="W818" s="82"/>
      <c r="X818" s="82"/>
      <c r="Y818" s="82"/>
      <c r="Z818" s="82"/>
    </row>
    <row r="819" ht="15.75" customHeight="1">
      <c r="U819" s="82"/>
      <c r="V819" s="82"/>
      <c r="W819" s="82"/>
      <c r="X819" s="82"/>
      <c r="Y819" s="82"/>
      <c r="Z819" s="82"/>
    </row>
    <row r="820" ht="15.75" customHeight="1">
      <c r="U820" s="82"/>
      <c r="V820" s="82"/>
      <c r="W820" s="82"/>
      <c r="X820" s="82"/>
      <c r="Y820" s="82"/>
      <c r="Z820" s="82"/>
    </row>
    <row r="821" ht="15.75" customHeight="1">
      <c r="U821" s="82"/>
      <c r="V821" s="82"/>
      <c r="W821" s="82"/>
      <c r="X821" s="82"/>
      <c r="Y821" s="82"/>
      <c r="Z821" s="82"/>
    </row>
    <row r="822" ht="15.75" customHeight="1">
      <c r="U822" s="82"/>
      <c r="V822" s="82"/>
      <c r="W822" s="82"/>
      <c r="X822" s="82"/>
      <c r="Y822" s="82"/>
      <c r="Z822" s="82"/>
    </row>
    <row r="823" ht="15.75" customHeight="1">
      <c r="U823" s="82"/>
      <c r="V823" s="82"/>
      <c r="W823" s="82"/>
      <c r="X823" s="82"/>
      <c r="Y823" s="82"/>
      <c r="Z823" s="82"/>
    </row>
    <row r="824" ht="15.75" customHeight="1">
      <c r="U824" s="82"/>
      <c r="V824" s="82"/>
      <c r="W824" s="82"/>
      <c r="X824" s="82"/>
      <c r="Y824" s="82"/>
      <c r="Z824" s="82"/>
    </row>
    <row r="825" ht="15.75" customHeight="1">
      <c r="U825" s="82"/>
      <c r="V825" s="82"/>
      <c r="W825" s="82"/>
      <c r="X825" s="82"/>
      <c r="Y825" s="82"/>
      <c r="Z825" s="82"/>
    </row>
    <row r="826" ht="15.75" customHeight="1">
      <c r="U826" s="82"/>
      <c r="V826" s="82"/>
      <c r="W826" s="82"/>
      <c r="X826" s="82"/>
      <c r="Y826" s="82"/>
      <c r="Z826" s="82"/>
    </row>
    <row r="827" ht="15.75" customHeight="1">
      <c r="U827" s="82"/>
      <c r="V827" s="82"/>
      <c r="W827" s="82"/>
      <c r="X827" s="82"/>
      <c r="Y827" s="82"/>
      <c r="Z827" s="82"/>
    </row>
    <row r="828" ht="15.75" customHeight="1">
      <c r="U828" s="82"/>
      <c r="V828" s="82"/>
      <c r="W828" s="82"/>
      <c r="X828" s="82"/>
      <c r="Y828" s="82"/>
      <c r="Z828" s="82"/>
    </row>
    <row r="829" ht="15.75" customHeight="1">
      <c r="U829" s="82"/>
      <c r="V829" s="82"/>
      <c r="W829" s="82"/>
      <c r="X829" s="82"/>
      <c r="Y829" s="82"/>
      <c r="Z829" s="82"/>
    </row>
    <row r="830" ht="15.75" customHeight="1">
      <c r="U830" s="82"/>
      <c r="V830" s="82"/>
      <c r="W830" s="82"/>
      <c r="X830" s="82"/>
      <c r="Y830" s="82"/>
      <c r="Z830" s="82"/>
    </row>
    <row r="831" ht="15.75" customHeight="1">
      <c r="U831" s="82"/>
      <c r="V831" s="82"/>
      <c r="W831" s="82"/>
      <c r="X831" s="82"/>
      <c r="Y831" s="82"/>
      <c r="Z831" s="82"/>
    </row>
    <row r="832" ht="15.75" customHeight="1">
      <c r="U832" s="82"/>
      <c r="V832" s="82"/>
      <c r="W832" s="82"/>
      <c r="X832" s="82"/>
      <c r="Y832" s="82"/>
      <c r="Z832" s="82"/>
    </row>
    <row r="833" ht="15.75" customHeight="1">
      <c r="U833" s="82"/>
      <c r="V833" s="82"/>
      <c r="W833" s="82"/>
      <c r="X833" s="82"/>
      <c r="Y833" s="82"/>
      <c r="Z833" s="82"/>
    </row>
    <row r="834" ht="15.75" customHeight="1">
      <c r="U834" s="82"/>
      <c r="V834" s="82"/>
      <c r="W834" s="82"/>
      <c r="X834" s="82"/>
      <c r="Y834" s="82"/>
      <c r="Z834" s="82"/>
    </row>
    <row r="835" ht="15.75" customHeight="1">
      <c r="U835" s="82"/>
      <c r="V835" s="82"/>
      <c r="W835" s="82"/>
      <c r="X835" s="82"/>
      <c r="Y835" s="82"/>
      <c r="Z835" s="82"/>
    </row>
    <row r="836" ht="15.75" customHeight="1">
      <c r="U836" s="82"/>
      <c r="V836" s="82"/>
      <c r="W836" s="82"/>
      <c r="X836" s="82"/>
      <c r="Y836" s="82"/>
      <c r="Z836" s="82"/>
    </row>
    <row r="837" ht="15.75" customHeight="1">
      <c r="U837" s="82"/>
      <c r="V837" s="82"/>
      <c r="W837" s="82"/>
      <c r="X837" s="82"/>
      <c r="Y837" s="82"/>
      <c r="Z837" s="82"/>
    </row>
    <row r="838" ht="15.75" customHeight="1">
      <c r="U838" s="82"/>
      <c r="V838" s="82"/>
      <c r="W838" s="82"/>
      <c r="X838" s="82"/>
      <c r="Y838" s="82"/>
      <c r="Z838" s="82"/>
    </row>
    <row r="839" ht="15.75" customHeight="1">
      <c r="U839" s="82"/>
      <c r="V839" s="82"/>
      <c r="W839" s="82"/>
      <c r="X839" s="82"/>
      <c r="Y839" s="82"/>
      <c r="Z839" s="82"/>
    </row>
    <row r="840" ht="15.75" customHeight="1">
      <c r="U840" s="82"/>
      <c r="V840" s="82"/>
      <c r="W840" s="82"/>
      <c r="X840" s="82"/>
      <c r="Y840" s="82"/>
      <c r="Z840" s="82"/>
    </row>
    <row r="841" ht="15.75" customHeight="1">
      <c r="U841" s="82"/>
      <c r="V841" s="82"/>
      <c r="W841" s="82"/>
      <c r="X841" s="82"/>
      <c r="Y841" s="82"/>
      <c r="Z841" s="82"/>
    </row>
    <row r="842" ht="15.75" customHeight="1">
      <c r="U842" s="82"/>
      <c r="V842" s="82"/>
      <c r="W842" s="82"/>
      <c r="X842" s="82"/>
      <c r="Y842" s="82"/>
      <c r="Z842" s="82"/>
    </row>
    <row r="843" ht="15.75" customHeight="1">
      <c r="U843" s="82"/>
      <c r="V843" s="82"/>
      <c r="W843" s="82"/>
      <c r="X843" s="82"/>
      <c r="Y843" s="82"/>
      <c r="Z843" s="82"/>
    </row>
    <row r="844" ht="15.75" customHeight="1">
      <c r="U844" s="82"/>
      <c r="V844" s="82"/>
      <c r="W844" s="82"/>
      <c r="X844" s="82"/>
      <c r="Y844" s="82"/>
      <c r="Z844" s="82"/>
    </row>
    <row r="845" ht="15.75" customHeight="1">
      <c r="U845" s="82"/>
      <c r="V845" s="82"/>
      <c r="W845" s="82"/>
      <c r="X845" s="82"/>
      <c r="Y845" s="82"/>
      <c r="Z845" s="82"/>
    </row>
    <row r="846" ht="15.75" customHeight="1">
      <c r="U846" s="82"/>
      <c r="V846" s="82"/>
      <c r="W846" s="82"/>
      <c r="X846" s="82"/>
      <c r="Y846" s="82"/>
      <c r="Z846" s="82"/>
    </row>
    <row r="847" ht="15.75" customHeight="1">
      <c r="U847" s="82"/>
      <c r="V847" s="82"/>
      <c r="W847" s="82"/>
      <c r="X847" s="82"/>
      <c r="Y847" s="82"/>
      <c r="Z847" s="82"/>
    </row>
    <row r="848" ht="15.75" customHeight="1">
      <c r="U848" s="82"/>
      <c r="V848" s="82"/>
      <c r="W848" s="82"/>
      <c r="X848" s="82"/>
      <c r="Y848" s="82"/>
      <c r="Z848" s="82"/>
    </row>
    <row r="849" ht="15.75" customHeight="1">
      <c r="U849" s="82"/>
      <c r="V849" s="82"/>
      <c r="W849" s="82"/>
      <c r="X849" s="82"/>
      <c r="Y849" s="82"/>
      <c r="Z849" s="82"/>
    </row>
    <row r="850" ht="15.75" customHeight="1">
      <c r="U850" s="82"/>
      <c r="V850" s="82"/>
      <c r="W850" s="82"/>
      <c r="X850" s="82"/>
      <c r="Y850" s="82"/>
      <c r="Z850" s="82"/>
    </row>
    <row r="851" ht="15.75" customHeight="1">
      <c r="U851" s="82"/>
      <c r="V851" s="82"/>
      <c r="W851" s="82"/>
      <c r="X851" s="82"/>
      <c r="Y851" s="82"/>
      <c r="Z851" s="82"/>
    </row>
    <row r="852" ht="15.75" customHeight="1">
      <c r="U852" s="82"/>
      <c r="V852" s="82"/>
      <c r="W852" s="82"/>
      <c r="X852" s="82"/>
      <c r="Y852" s="82"/>
      <c r="Z852" s="82"/>
    </row>
    <row r="853" ht="15.75" customHeight="1">
      <c r="U853" s="82"/>
      <c r="V853" s="82"/>
      <c r="W853" s="82"/>
      <c r="X853" s="82"/>
      <c r="Y853" s="82"/>
      <c r="Z853" s="82"/>
    </row>
    <row r="854" ht="15.75" customHeight="1">
      <c r="U854" s="82"/>
      <c r="V854" s="82"/>
      <c r="W854" s="82"/>
      <c r="X854" s="82"/>
      <c r="Y854" s="82"/>
      <c r="Z854" s="82"/>
    </row>
    <row r="855" ht="15.75" customHeight="1">
      <c r="U855" s="82"/>
      <c r="V855" s="82"/>
      <c r="W855" s="82"/>
      <c r="X855" s="82"/>
      <c r="Y855" s="82"/>
      <c r="Z855" s="82"/>
    </row>
    <row r="856" ht="15.75" customHeight="1">
      <c r="U856" s="82"/>
      <c r="V856" s="82"/>
      <c r="W856" s="82"/>
      <c r="X856" s="82"/>
      <c r="Y856" s="82"/>
      <c r="Z856" s="82"/>
    </row>
    <row r="857" ht="15.75" customHeight="1">
      <c r="U857" s="82"/>
      <c r="V857" s="82"/>
      <c r="W857" s="82"/>
      <c r="X857" s="82"/>
      <c r="Y857" s="82"/>
      <c r="Z857" s="82"/>
    </row>
    <row r="858" ht="15.75" customHeight="1">
      <c r="U858" s="82"/>
      <c r="V858" s="82"/>
      <c r="W858" s="82"/>
      <c r="X858" s="82"/>
      <c r="Y858" s="82"/>
      <c r="Z858" s="82"/>
    </row>
    <row r="859" ht="15.75" customHeight="1">
      <c r="U859" s="82"/>
      <c r="V859" s="82"/>
      <c r="W859" s="82"/>
      <c r="X859" s="82"/>
      <c r="Y859" s="82"/>
      <c r="Z859" s="82"/>
    </row>
    <row r="860" ht="15.75" customHeight="1">
      <c r="U860" s="82"/>
      <c r="V860" s="82"/>
      <c r="W860" s="82"/>
      <c r="X860" s="82"/>
      <c r="Y860" s="82"/>
      <c r="Z860" s="82"/>
    </row>
    <row r="861" ht="15.75" customHeight="1">
      <c r="U861" s="82"/>
      <c r="V861" s="82"/>
      <c r="W861" s="82"/>
      <c r="X861" s="82"/>
      <c r="Y861" s="82"/>
      <c r="Z861" s="82"/>
    </row>
    <row r="862" ht="15.75" customHeight="1">
      <c r="U862" s="82"/>
      <c r="V862" s="82"/>
      <c r="W862" s="82"/>
      <c r="X862" s="82"/>
      <c r="Y862" s="82"/>
      <c r="Z862" s="82"/>
    </row>
    <row r="863" ht="15.75" customHeight="1">
      <c r="U863" s="82"/>
      <c r="V863" s="82"/>
      <c r="W863" s="82"/>
      <c r="X863" s="82"/>
      <c r="Y863" s="82"/>
      <c r="Z863" s="82"/>
    </row>
    <row r="864" ht="15.75" customHeight="1">
      <c r="U864" s="82"/>
      <c r="V864" s="82"/>
      <c r="W864" s="82"/>
      <c r="X864" s="82"/>
      <c r="Y864" s="82"/>
      <c r="Z864" s="82"/>
    </row>
    <row r="865" ht="15.75" customHeight="1">
      <c r="U865" s="82"/>
      <c r="V865" s="82"/>
      <c r="W865" s="82"/>
      <c r="X865" s="82"/>
      <c r="Y865" s="82"/>
      <c r="Z865" s="82"/>
    </row>
    <row r="866" ht="15.75" customHeight="1">
      <c r="U866" s="82"/>
      <c r="V866" s="82"/>
      <c r="W866" s="82"/>
      <c r="X866" s="82"/>
      <c r="Y866" s="82"/>
      <c r="Z866" s="82"/>
    </row>
    <row r="867" ht="15.75" customHeight="1">
      <c r="U867" s="82"/>
      <c r="V867" s="82"/>
      <c r="W867" s="82"/>
      <c r="X867" s="82"/>
      <c r="Y867" s="82"/>
      <c r="Z867" s="82"/>
    </row>
    <row r="868" ht="15.75" customHeight="1">
      <c r="U868" s="82"/>
      <c r="V868" s="82"/>
      <c r="W868" s="82"/>
      <c r="X868" s="82"/>
      <c r="Y868" s="82"/>
      <c r="Z868" s="82"/>
    </row>
    <row r="869" ht="15.75" customHeight="1">
      <c r="U869" s="82"/>
      <c r="V869" s="82"/>
      <c r="W869" s="82"/>
      <c r="X869" s="82"/>
      <c r="Y869" s="82"/>
      <c r="Z869" s="82"/>
    </row>
    <row r="870" ht="15.75" customHeight="1">
      <c r="U870" s="82"/>
      <c r="V870" s="82"/>
      <c r="W870" s="82"/>
      <c r="X870" s="82"/>
      <c r="Y870" s="82"/>
      <c r="Z870" s="82"/>
    </row>
    <row r="871" ht="15.75" customHeight="1">
      <c r="U871" s="82"/>
      <c r="V871" s="82"/>
      <c r="W871" s="82"/>
      <c r="X871" s="82"/>
      <c r="Y871" s="82"/>
      <c r="Z871" s="82"/>
    </row>
    <row r="872" ht="15.75" customHeight="1">
      <c r="U872" s="82"/>
      <c r="V872" s="82"/>
      <c r="W872" s="82"/>
      <c r="X872" s="82"/>
      <c r="Y872" s="82"/>
      <c r="Z872" s="82"/>
    </row>
    <row r="873" ht="15.75" customHeight="1">
      <c r="U873" s="82"/>
      <c r="V873" s="82"/>
      <c r="W873" s="82"/>
      <c r="X873" s="82"/>
      <c r="Y873" s="82"/>
      <c r="Z873" s="82"/>
    </row>
    <row r="874" ht="15.75" customHeight="1">
      <c r="U874" s="82"/>
      <c r="V874" s="82"/>
      <c r="W874" s="82"/>
      <c r="X874" s="82"/>
      <c r="Y874" s="82"/>
      <c r="Z874" s="82"/>
    </row>
    <row r="875" ht="15.75" customHeight="1">
      <c r="U875" s="82"/>
      <c r="V875" s="82"/>
      <c r="W875" s="82"/>
      <c r="X875" s="82"/>
      <c r="Y875" s="82"/>
      <c r="Z875" s="82"/>
    </row>
    <row r="876" ht="15.75" customHeight="1">
      <c r="U876" s="82"/>
      <c r="V876" s="82"/>
      <c r="W876" s="82"/>
      <c r="X876" s="82"/>
      <c r="Y876" s="82"/>
      <c r="Z876" s="82"/>
    </row>
    <row r="877" ht="15.75" customHeight="1">
      <c r="U877" s="82"/>
      <c r="V877" s="82"/>
      <c r="W877" s="82"/>
      <c r="X877" s="82"/>
      <c r="Y877" s="82"/>
      <c r="Z877" s="82"/>
    </row>
    <row r="878" ht="15.75" customHeight="1">
      <c r="U878" s="82"/>
      <c r="V878" s="82"/>
      <c r="W878" s="82"/>
      <c r="X878" s="82"/>
      <c r="Y878" s="82"/>
      <c r="Z878" s="82"/>
    </row>
    <row r="879" ht="15.75" customHeight="1">
      <c r="U879" s="82"/>
      <c r="V879" s="82"/>
      <c r="W879" s="82"/>
      <c r="X879" s="82"/>
      <c r="Y879" s="82"/>
      <c r="Z879" s="82"/>
    </row>
    <row r="880" ht="15.75" customHeight="1">
      <c r="U880" s="82"/>
      <c r="V880" s="82"/>
      <c r="W880" s="82"/>
      <c r="X880" s="82"/>
      <c r="Y880" s="82"/>
      <c r="Z880" s="82"/>
    </row>
    <row r="881" ht="15.75" customHeight="1">
      <c r="U881" s="82"/>
      <c r="V881" s="82"/>
      <c r="W881" s="82"/>
      <c r="X881" s="82"/>
      <c r="Y881" s="82"/>
      <c r="Z881" s="82"/>
    </row>
    <row r="882" ht="15.75" customHeight="1">
      <c r="U882" s="82"/>
      <c r="V882" s="82"/>
      <c r="W882" s="82"/>
      <c r="X882" s="82"/>
      <c r="Y882" s="82"/>
      <c r="Z882" s="82"/>
    </row>
    <row r="883" ht="15.75" customHeight="1">
      <c r="U883" s="82"/>
      <c r="V883" s="82"/>
      <c r="W883" s="82"/>
      <c r="X883" s="82"/>
      <c r="Y883" s="82"/>
      <c r="Z883" s="82"/>
    </row>
    <row r="884" ht="15.75" customHeight="1">
      <c r="U884" s="82"/>
      <c r="V884" s="82"/>
      <c r="W884" s="82"/>
      <c r="X884" s="82"/>
      <c r="Y884" s="82"/>
      <c r="Z884" s="82"/>
    </row>
    <row r="885" ht="15.75" customHeight="1">
      <c r="U885" s="82"/>
      <c r="V885" s="82"/>
      <c r="W885" s="82"/>
      <c r="X885" s="82"/>
      <c r="Y885" s="82"/>
      <c r="Z885" s="82"/>
    </row>
    <row r="886" ht="15.75" customHeight="1">
      <c r="U886" s="82"/>
      <c r="V886" s="82"/>
      <c r="W886" s="82"/>
      <c r="X886" s="82"/>
      <c r="Y886" s="82"/>
      <c r="Z886" s="82"/>
    </row>
    <row r="887" ht="15.75" customHeight="1">
      <c r="U887" s="82"/>
      <c r="V887" s="82"/>
      <c r="W887" s="82"/>
      <c r="X887" s="82"/>
      <c r="Y887" s="82"/>
      <c r="Z887" s="82"/>
    </row>
    <row r="888" ht="15.75" customHeight="1">
      <c r="U888" s="82"/>
      <c r="V888" s="82"/>
      <c r="W888" s="82"/>
      <c r="X888" s="82"/>
      <c r="Y888" s="82"/>
      <c r="Z888" s="82"/>
    </row>
    <row r="889" ht="15.75" customHeight="1">
      <c r="U889" s="82"/>
      <c r="V889" s="82"/>
      <c r="W889" s="82"/>
      <c r="X889" s="82"/>
      <c r="Y889" s="82"/>
      <c r="Z889" s="82"/>
    </row>
    <row r="890" ht="15.75" customHeight="1">
      <c r="U890" s="82"/>
      <c r="V890" s="82"/>
      <c r="W890" s="82"/>
      <c r="X890" s="82"/>
      <c r="Y890" s="82"/>
      <c r="Z890" s="82"/>
    </row>
    <row r="891" ht="15.75" customHeight="1">
      <c r="U891" s="82"/>
      <c r="V891" s="82"/>
      <c r="W891" s="82"/>
      <c r="X891" s="82"/>
      <c r="Y891" s="82"/>
      <c r="Z891" s="82"/>
    </row>
    <row r="892" ht="15.75" customHeight="1">
      <c r="U892" s="82"/>
      <c r="V892" s="82"/>
      <c r="W892" s="82"/>
      <c r="X892" s="82"/>
      <c r="Y892" s="82"/>
      <c r="Z892" s="82"/>
    </row>
    <row r="893" ht="15.75" customHeight="1">
      <c r="U893" s="82"/>
      <c r="V893" s="82"/>
      <c r="W893" s="82"/>
      <c r="X893" s="82"/>
      <c r="Y893" s="82"/>
      <c r="Z893" s="82"/>
    </row>
    <row r="894" ht="15.75" customHeight="1">
      <c r="U894" s="82"/>
      <c r="V894" s="82"/>
      <c r="W894" s="82"/>
      <c r="X894" s="82"/>
      <c r="Y894" s="82"/>
      <c r="Z894" s="82"/>
    </row>
    <row r="895" ht="15.75" customHeight="1">
      <c r="U895" s="82"/>
      <c r="V895" s="82"/>
      <c r="W895" s="82"/>
      <c r="X895" s="82"/>
      <c r="Y895" s="82"/>
      <c r="Z895" s="82"/>
    </row>
    <row r="896" ht="15.75" customHeight="1">
      <c r="U896" s="82"/>
      <c r="V896" s="82"/>
      <c r="W896" s="82"/>
      <c r="X896" s="82"/>
      <c r="Y896" s="82"/>
      <c r="Z896" s="82"/>
    </row>
    <row r="897" ht="15.75" customHeight="1">
      <c r="U897" s="82"/>
      <c r="V897" s="82"/>
      <c r="W897" s="82"/>
      <c r="X897" s="82"/>
      <c r="Y897" s="82"/>
      <c r="Z897" s="82"/>
    </row>
    <row r="898" ht="15.75" customHeight="1">
      <c r="U898" s="82"/>
      <c r="V898" s="82"/>
      <c r="W898" s="82"/>
      <c r="X898" s="82"/>
      <c r="Y898" s="82"/>
      <c r="Z898" s="82"/>
    </row>
    <row r="899" ht="15.75" customHeight="1">
      <c r="U899" s="82"/>
      <c r="V899" s="82"/>
      <c r="W899" s="82"/>
      <c r="X899" s="82"/>
      <c r="Y899" s="82"/>
      <c r="Z899" s="82"/>
    </row>
    <row r="900" ht="15.75" customHeight="1">
      <c r="U900" s="82"/>
      <c r="V900" s="82"/>
      <c r="W900" s="82"/>
      <c r="X900" s="82"/>
      <c r="Y900" s="82"/>
      <c r="Z900" s="82"/>
    </row>
    <row r="901" ht="15.75" customHeight="1">
      <c r="U901" s="82"/>
      <c r="V901" s="82"/>
      <c r="W901" s="82"/>
      <c r="X901" s="82"/>
      <c r="Y901" s="82"/>
      <c r="Z901" s="82"/>
    </row>
    <row r="902" ht="15.75" customHeight="1">
      <c r="U902" s="82"/>
      <c r="V902" s="82"/>
      <c r="W902" s="82"/>
      <c r="X902" s="82"/>
      <c r="Y902" s="82"/>
      <c r="Z902" s="82"/>
    </row>
    <row r="903" ht="15.75" customHeight="1">
      <c r="U903" s="82"/>
      <c r="V903" s="82"/>
      <c r="W903" s="82"/>
      <c r="X903" s="82"/>
      <c r="Y903" s="82"/>
      <c r="Z903" s="82"/>
    </row>
    <row r="904" ht="15.75" customHeight="1">
      <c r="U904" s="82"/>
      <c r="V904" s="82"/>
      <c r="W904" s="82"/>
      <c r="X904" s="82"/>
      <c r="Y904" s="82"/>
      <c r="Z904" s="82"/>
    </row>
    <row r="905" ht="15.75" customHeight="1">
      <c r="U905" s="82"/>
      <c r="V905" s="82"/>
      <c r="W905" s="82"/>
      <c r="X905" s="82"/>
      <c r="Y905" s="82"/>
      <c r="Z905" s="82"/>
    </row>
    <row r="906" ht="15.75" customHeight="1">
      <c r="U906" s="82"/>
      <c r="V906" s="82"/>
      <c r="W906" s="82"/>
      <c r="X906" s="82"/>
      <c r="Y906" s="82"/>
      <c r="Z906" s="82"/>
    </row>
    <row r="907" ht="15.75" customHeight="1">
      <c r="U907" s="82"/>
      <c r="V907" s="82"/>
      <c r="W907" s="82"/>
      <c r="X907" s="82"/>
      <c r="Y907" s="82"/>
      <c r="Z907" s="82"/>
    </row>
    <row r="908" ht="15.75" customHeight="1">
      <c r="U908" s="82"/>
      <c r="V908" s="82"/>
      <c r="W908" s="82"/>
      <c r="X908" s="82"/>
      <c r="Y908" s="82"/>
      <c r="Z908" s="82"/>
    </row>
    <row r="909" ht="15.75" customHeight="1">
      <c r="U909" s="82"/>
      <c r="V909" s="82"/>
      <c r="W909" s="82"/>
      <c r="X909" s="82"/>
      <c r="Y909" s="82"/>
      <c r="Z909" s="82"/>
    </row>
    <row r="910" ht="15.75" customHeight="1">
      <c r="U910" s="82"/>
      <c r="V910" s="82"/>
      <c r="W910" s="82"/>
      <c r="X910" s="82"/>
      <c r="Y910" s="82"/>
      <c r="Z910" s="82"/>
    </row>
    <row r="911" ht="15.75" customHeight="1">
      <c r="U911" s="82"/>
      <c r="V911" s="82"/>
      <c r="W911" s="82"/>
      <c r="X911" s="82"/>
      <c r="Y911" s="82"/>
      <c r="Z911" s="82"/>
    </row>
    <row r="912" ht="15.75" customHeight="1">
      <c r="U912" s="82"/>
      <c r="V912" s="82"/>
      <c r="W912" s="82"/>
      <c r="X912" s="82"/>
      <c r="Y912" s="82"/>
      <c r="Z912" s="82"/>
    </row>
    <row r="913" ht="15.75" customHeight="1">
      <c r="U913" s="82"/>
      <c r="V913" s="82"/>
      <c r="W913" s="82"/>
      <c r="X913" s="82"/>
      <c r="Y913" s="82"/>
      <c r="Z913" s="82"/>
    </row>
    <row r="914" ht="15.75" customHeight="1">
      <c r="U914" s="82"/>
      <c r="V914" s="82"/>
      <c r="W914" s="82"/>
      <c r="X914" s="82"/>
      <c r="Y914" s="82"/>
      <c r="Z914" s="82"/>
    </row>
    <row r="915" ht="15.75" customHeight="1">
      <c r="U915" s="82"/>
      <c r="V915" s="82"/>
      <c r="W915" s="82"/>
      <c r="X915" s="82"/>
      <c r="Y915" s="82"/>
      <c r="Z915" s="82"/>
    </row>
    <row r="916" ht="15.75" customHeight="1">
      <c r="U916" s="82"/>
      <c r="V916" s="82"/>
      <c r="W916" s="82"/>
      <c r="X916" s="82"/>
      <c r="Y916" s="82"/>
      <c r="Z916" s="82"/>
    </row>
    <row r="917" ht="15.75" customHeight="1">
      <c r="U917" s="82"/>
      <c r="V917" s="82"/>
      <c r="W917" s="82"/>
      <c r="X917" s="82"/>
      <c r="Y917" s="82"/>
      <c r="Z917" s="82"/>
    </row>
    <row r="918" ht="15.75" customHeight="1">
      <c r="U918" s="82"/>
      <c r="V918" s="82"/>
      <c r="W918" s="82"/>
      <c r="X918" s="82"/>
      <c r="Y918" s="82"/>
      <c r="Z918" s="82"/>
    </row>
    <row r="919" ht="15.75" customHeight="1">
      <c r="U919" s="82"/>
      <c r="V919" s="82"/>
      <c r="W919" s="82"/>
      <c r="X919" s="82"/>
      <c r="Y919" s="82"/>
      <c r="Z919" s="82"/>
    </row>
    <row r="920" ht="15.75" customHeight="1">
      <c r="U920" s="82"/>
      <c r="V920" s="82"/>
      <c r="W920" s="82"/>
      <c r="X920" s="82"/>
      <c r="Y920" s="82"/>
      <c r="Z920" s="82"/>
    </row>
    <row r="921" ht="15.75" customHeight="1">
      <c r="U921" s="82"/>
      <c r="V921" s="82"/>
      <c r="W921" s="82"/>
      <c r="X921" s="82"/>
      <c r="Y921" s="82"/>
      <c r="Z921" s="82"/>
    </row>
    <row r="922" ht="15.75" customHeight="1">
      <c r="U922" s="82"/>
      <c r="V922" s="82"/>
      <c r="W922" s="82"/>
      <c r="X922" s="82"/>
      <c r="Y922" s="82"/>
      <c r="Z922" s="82"/>
    </row>
    <row r="923" ht="15.75" customHeight="1">
      <c r="U923" s="82"/>
      <c r="V923" s="82"/>
      <c r="W923" s="82"/>
      <c r="X923" s="82"/>
      <c r="Y923" s="82"/>
      <c r="Z923" s="82"/>
    </row>
    <row r="924" ht="15.75" customHeight="1">
      <c r="U924" s="82"/>
      <c r="V924" s="82"/>
      <c r="W924" s="82"/>
      <c r="X924" s="82"/>
      <c r="Y924" s="82"/>
      <c r="Z924" s="82"/>
    </row>
    <row r="925" ht="15.75" customHeight="1">
      <c r="U925" s="82"/>
      <c r="V925" s="82"/>
      <c r="W925" s="82"/>
      <c r="X925" s="82"/>
      <c r="Y925" s="82"/>
      <c r="Z925" s="82"/>
    </row>
    <row r="926" ht="15.75" customHeight="1">
      <c r="U926" s="82"/>
      <c r="V926" s="82"/>
      <c r="W926" s="82"/>
      <c r="X926" s="82"/>
      <c r="Y926" s="82"/>
      <c r="Z926" s="82"/>
    </row>
    <row r="927" ht="15.75" customHeight="1">
      <c r="U927" s="82"/>
      <c r="V927" s="82"/>
      <c r="W927" s="82"/>
      <c r="X927" s="82"/>
      <c r="Y927" s="82"/>
      <c r="Z927" s="82"/>
    </row>
    <row r="928" ht="15.75" customHeight="1">
      <c r="U928" s="82"/>
      <c r="V928" s="82"/>
      <c r="W928" s="82"/>
      <c r="X928" s="82"/>
      <c r="Y928" s="82"/>
      <c r="Z928" s="82"/>
    </row>
    <row r="929" ht="15.75" customHeight="1">
      <c r="U929" s="82"/>
      <c r="V929" s="82"/>
      <c r="W929" s="82"/>
      <c r="X929" s="82"/>
      <c r="Y929" s="82"/>
      <c r="Z929" s="82"/>
    </row>
    <row r="930" ht="15.75" customHeight="1">
      <c r="U930" s="82"/>
      <c r="V930" s="82"/>
      <c r="W930" s="82"/>
      <c r="X930" s="82"/>
      <c r="Y930" s="82"/>
      <c r="Z930" s="82"/>
    </row>
    <row r="931" ht="15.75" customHeight="1">
      <c r="U931" s="82"/>
      <c r="V931" s="82"/>
      <c r="W931" s="82"/>
      <c r="X931" s="82"/>
      <c r="Y931" s="82"/>
      <c r="Z931" s="82"/>
    </row>
    <row r="932" ht="15.75" customHeight="1">
      <c r="U932" s="82"/>
      <c r="V932" s="82"/>
      <c r="W932" s="82"/>
      <c r="X932" s="82"/>
      <c r="Y932" s="82"/>
      <c r="Z932" s="82"/>
    </row>
    <row r="933" ht="15.75" customHeight="1">
      <c r="U933" s="82"/>
      <c r="V933" s="82"/>
      <c r="W933" s="82"/>
      <c r="X933" s="82"/>
      <c r="Y933" s="82"/>
      <c r="Z933" s="82"/>
    </row>
    <row r="934" ht="15.75" customHeight="1">
      <c r="U934" s="82"/>
      <c r="V934" s="82"/>
      <c r="W934" s="82"/>
      <c r="X934" s="82"/>
      <c r="Y934" s="82"/>
      <c r="Z934" s="82"/>
    </row>
    <row r="935" ht="15.75" customHeight="1">
      <c r="U935" s="82"/>
      <c r="V935" s="82"/>
      <c r="W935" s="82"/>
      <c r="X935" s="82"/>
      <c r="Y935" s="82"/>
      <c r="Z935" s="82"/>
    </row>
    <row r="936" ht="15.75" customHeight="1">
      <c r="U936" s="82"/>
      <c r="V936" s="82"/>
      <c r="W936" s="82"/>
      <c r="X936" s="82"/>
      <c r="Y936" s="82"/>
      <c r="Z936" s="82"/>
    </row>
    <row r="937" ht="15.75" customHeight="1">
      <c r="U937" s="82"/>
      <c r="V937" s="82"/>
      <c r="W937" s="82"/>
      <c r="X937" s="82"/>
      <c r="Y937" s="82"/>
      <c r="Z937" s="82"/>
    </row>
    <row r="938" ht="15.75" customHeight="1">
      <c r="U938" s="82"/>
      <c r="V938" s="82"/>
      <c r="W938" s="82"/>
      <c r="X938" s="82"/>
      <c r="Y938" s="82"/>
      <c r="Z938" s="82"/>
    </row>
    <row r="939" ht="15.75" customHeight="1">
      <c r="U939" s="82"/>
      <c r="V939" s="82"/>
      <c r="W939" s="82"/>
      <c r="X939" s="82"/>
      <c r="Y939" s="82"/>
      <c r="Z939" s="82"/>
    </row>
    <row r="940" ht="15.75" customHeight="1">
      <c r="U940" s="82"/>
      <c r="V940" s="82"/>
      <c r="W940" s="82"/>
      <c r="X940" s="82"/>
      <c r="Y940" s="82"/>
      <c r="Z940" s="82"/>
    </row>
    <row r="941" ht="15.75" customHeight="1">
      <c r="U941" s="82"/>
      <c r="V941" s="82"/>
      <c r="W941" s="82"/>
      <c r="X941" s="82"/>
      <c r="Y941" s="82"/>
      <c r="Z941" s="82"/>
    </row>
    <row r="942" ht="15.75" customHeight="1">
      <c r="U942" s="82"/>
      <c r="V942" s="82"/>
      <c r="W942" s="82"/>
      <c r="X942" s="82"/>
      <c r="Y942" s="82"/>
      <c r="Z942" s="82"/>
    </row>
    <row r="943" ht="15.75" customHeight="1">
      <c r="U943" s="82"/>
      <c r="V943" s="82"/>
      <c r="W943" s="82"/>
      <c r="X943" s="82"/>
      <c r="Y943" s="82"/>
      <c r="Z943" s="82"/>
    </row>
    <row r="944" ht="15.75" customHeight="1">
      <c r="U944" s="82"/>
      <c r="V944" s="82"/>
      <c r="W944" s="82"/>
      <c r="X944" s="82"/>
      <c r="Y944" s="82"/>
      <c r="Z944" s="82"/>
    </row>
    <row r="945" ht="15.75" customHeight="1">
      <c r="U945" s="82"/>
      <c r="V945" s="82"/>
      <c r="W945" s="82"/>
      <c r="X945" s="82"/>
      <c r="Y945" s="82"/>
      <c r="Z945" s="82"/>
    </row>
    <row r="946" ht="15.75" customHeight="1">
      <c r="U946" s="82"/>
      <c r="V946" s="82"/>
      <c r="W946" s="82"/>
      <c r="X946" s="82"/>
      <c r="Y946" s="82"/>
      <c r="Z946" s="82"/>
    </row>
    <row r="947" ht="15.75" customHeight="1">
      <c r="U947" s="82"/>
      <c r="V947" s="82"/>
      <c r="W947" s="82"/>
      <c r="X947" s="82"/>
      <c r="Y947" s="82"/>
      <c r="Z947" s="82"/>
    </row>
    <row r="948" ht="15.75" customHeight="1">
      <c r="U948" s="82"/>
      <c r="V948" s="82"/>
      <c r="W948" s="82"/>
      <c r="X948" s="82"/>
      <c r="Y948" s="82"/>
      <c r="Z948" s="82"/>
    </row>
    <row r="949" ht="15.75" customHeight="1">
      <c r="U949" s="82"/>
      <c r="V949" s="82"/>
      <c r="W949" s="82"/>
      <c r="X949" s="82"/>
      <c r="Y949" s="82"/>
      <c r="Z949" s="82"/>
    </row>
    <row r="950" ht="15.75" customHeight="1">
      <c r="U950" s="82"/>
      <c r="V950" s="82"/>
      <c r="W950" s="82"/>
      <c r="X950" s="82"/>
      <c r="Y950" s="82"/>
      <c r="Z950" s="82"/>
    </row>
    <row r="951" ht="15.75" customHeight="1">
      <c r="U951" s="82"/>
      <c r="V951" s="82"/>
      <c r="W951" s="82"/>
      <c r="X951" s="82"/>
      <c r="Y951" s="82"/>
      <c r="Z951" s="82"/>
    </row>
    <row r="952" ht="15.75" customHeight="1">
      <c r="U952" s="82"/>
      <c r="V952" s="82"/>
      <c r="W952" s="82"/>
      <c r="X952" s="82"/>
      <c r="Y952" s="82"/>
      <c r="Z952" s="82"/>
    </row>
    <row r="953" ht="15.75" customHeight="1">
      <c r="U953" s="82"/>
      <c r="V953" s="82"/>
      <c r="W953" s="82"/>
      <c r="X953" s="82"/>
      <c r="Y953" s="82"/>
      <c r="Z953" s="82"/>
    </row>
    <row r="954" ht="15.75" customHeight="1">
      <c r="U954" s="82"/>
      <c r="V954" s="82"/>
      <c r="W954" s="82"/>
      <c r="X954" s="82"/>
      <c r="Y954" s="82"/>
      <c r="Z954" s="82"/>
    </row>
    <row r="955" ht="15.75" customHeight="1">
      <c r="U955" s="82"/>
      <c r="V955" s="82"/>
      <c r="W955" s="82"/>
      <c r="X955" s="82"/>
      <c r="Y955" s="82"/>
      <c r="Z955" s="82"/>
    </row>
    <row r="956" ht="15.75" customHeight="1">
      <c r="U956" s="82"/>
      <c r="V956" s="82"/>
      <c r="W956" s="82"/>
      <c r="X956" s="82"/>
      <c r="Y956" s="82"/>
      <c r="Z956" s="82"/>
    </row>
    <row r="957" ht="15.75" customHeight="1">
      <c r="U957" s="82"/>
      <c r="V957" s="82"/>
      <c r="W957" s="82"/>
      <c r="X957" s="82"/>
      <c r="Y957" s="82"/>
      <c r="Z957" s="82"/>
    </row>
    <row r="958" ht="15.75" customHeight="1">
      <c r="U958" s="82"/>
      <c r="V958" s="82"/>
      <c r="W958" s="82"/>
      <c r="X958" s="82"/>
      <c r="Y958" s="82"/>
      <c r="Z958" s="82"/>
    </row>
    <row r="959" ht="15.75" customHeight="1">
      <c r="U959" s="82"/>
      <c r="V959" s="82"/>
      <c r="W959" s="82"/>
      <c r="X959" s="82"/>
      <c r="Y959" s="82"/>
      <c r="Z959" s="82"/>
    </row>
    <row r="960" ht="15.75" customHeight="1">
      <c r="U960" s="82"/>
      <c r="V960" s="82"/>
      <c r="W960" s="82"/>
      <c r="X960" s="82"/>
      <c r="Y960" s="82"/>
      <c r="Z960" s="82"/>
    </row>
    <row r="961" ht="15.75" customHeight="1">
      <c r="U961" s="82"/>
      <c r="V961" s="82"/>
      <c r="W961" s="82"/>
      <c r="X961" s="82"/>
      <c r="Y961" s="82"/>
      <c r="Z961" s="82"/>
    </row>
    <row r="962" ht="15.75" customHeight="1">
      <c r="U962" s="82"/>
      <c r="V962" s="82"/>
      <c r="W962" s="82"/>
      <c r="X962" s="82"/>
      <c r="Y962" s="82"/>
      <c r="Z962" s="82"/>
    </row>
    <row r="963" ht="15.75" customHeight="1">
      <c r="U963" s="82"/>
      <c r="V963" s="82"/>
      <c r="W963" s="82"/>
      <c r="X963" s="82"/>
      <c r="Y963" s="82"/>
      <c r="Z963" s="82"/>
    </row>
    <row r="964" ht="15.75" customHeight="1">
      <c r="U964" s="82"/>
      <c r="V964" s="82"/>
      <c r="W964" s="82"/>
      <c r="X964" s="82"/>
      <c r="Y964" s="82"/>
      <c r="Z964" s="82"/>
    </row>
    <row r="965" ht="15.75" customHeight="1">
      <c r="U965" s="82"/>
      <c r="V965" s="82"/>
      <c r="W965" s="82"/>
      <c r="X965" s="82"/>
      <c r="Y965" s="82"/>
      <c r="Z965" s="82"/>
    </row>
    <row r="966" ht="15.75" customHeight="1">
      <c r="U966" s="82"/>
      <c r="V966" s="82"/>
      <c r="W966" s="82"/>
      <c r="X966" s="82"/>
      <c r="Y966" s="82"/>
      <c r="Z966" s="82"/>
    </row>
    <row r="967" ht="15.75" customHeight="1">
      <c r="U967" s="82"/>
      <c r="V967" s="82"/>
      <c r="W967" s="82"/>
      <c r="X967" s="82"/>
      <c r="Y967" s="82"/>
      <c r="Z967" s="82"/>
    </row>
    <row r="968" ht="15.75" customHeight="1">
      <c r="U968" s="82"/>
      <c r="V968" s="82"/>
      <c r="W968" s="82"/>
      <c r="X968" s="82"/>
      <c r="Y968" s="82"/>
      <c r="Z968" s="82"/>
    </row>
    <row r="969" ht="15.75" customHeight="1">
      <c r="U969" s="82"/>
      <c r="V969" s="82"/>
      <c r="W969" s="82"/>
      <c r="X969" s="82"/>
      <c r="Y969" s="82"/>
      <c r="Z969" s="82"/>
    </row>
    <row r="970" ht="15.75" customHeight="1">
      <c r="U970" s="82"/>
      <c r="V970" s="82"/>
      <c r="W970" s="82"/>
      <c r="X970" s="82"/>
      <c r="Y970" s="82"/>
      <c r="Z970" s="82"/>
    </row>
    <row r="971" ht="15.75" customHeight="1">
      <c r="U971" s="82"/>
      <c r="V971" s="82"/>
      <c r="W971" s="82"/>
      <c r="X971" s="82"/>
      <c r="Y971" s="82"/>
      <c r="Z971" s="82"/>
    </row>
    <row r="972" ht="15.75" customHeight="1">
      <c r="U972" s="82"/>
      <c r="V972" s="82"/>
      <c r="W972" s="82"/>
      <c r="X972" s="82"/>
      <c r="Y972" s="82"/>
      <c r="Z972" s="82"/>
    </row>
    <row r="973" ht="15.75" customHeight="1">
      <c r="U973" s="82"/>
      <c r="V973" s="82"/>
      <c r="W973" s="82"/>
      <c r="X973" s="82"/>
      <c r="Y973" s="82"/>
      <c r="Z973" s="82"/>
    </row>
    <row r="974" ht="15.75" customHeight="1">
      <c r="U974" s="82"/>
      <c r="V974" s="82"/>
      <c r="W974" s="82"/>
      <c r="X974" s="82"/>
      <c r="Y974" s="82"/>
      <c r="Z974" s="82"/>
    </row>
    <row r="975" ht="15.75" customHeight="1">
      <c r="U975" s="82"/>
      <c r="V975" s="82"/>
      <c r="W975" s="82"/>
      <c r="X975" s="82"/>
      <c r="Y975" s="82"/>
      <c r="Z975" s="82"/>
    </row>
    <row r="976" ht="15.75" customHeight="1">
      <c r="U976" s="82"/>
      <c r="V976" s="82"/>
      <c r="W976" s="82"/>
      <c r="X976" s="82"/>
      <c r="Y976" s="82"/>
      <c r="Z976" s="82"/>
    </row>
    <row r="977" ht="15.75" customHeight="1">
      <c r="U977" s="82"/>
      <c r="V977" s="82"/>
      <c r="W977" s="82"/>
      <c r="X977" s="82"/>
      <c r="Y977" s="82"/>
      <c r="Z977" s="82"/>
    </row>
    <row r="978" ht="15.75" customHeight="1">
      <c r="U978" s="82"/>
      <c r="V978" s="82"/>
      <c r="W978" s="82"/>
      <c r="X978" s="82"/>
      <c r="Y978" s="82"/>
      <c r="Z978" s="82"/>
    </row>
    <row r="979" ht="15.75" customHeight="1">
      <c r="U979" s="82"/>
      <c r="V979" s="82"/>
      <c r="W979" s="82"/>
      <c r="X979" s="82"/>
      <c r="Y979" s="82"/>
      <c r="Z979" s="82"/>
    </row>
    <row r="980" ht="15.75" customHeight="1">
      <c r="U980" s="82"/>
      <c r="V980" s="82"/>
      <c r="W980" s="82"/>
      <c r="X980" s="82"/>
      <c r="Y980" s="82"/>
      <c r="Z980" s="82"/>
    </row>
    <row r="981" ht="15.75" customHeight="1">
      <c r="U981" s="82"/>
      <c r="V981" s="82"/>
      <c r="W981" s="82"/>
      <c r="X981" s="82"/>
      <c r="Y981" s="82"/>
      <c r="Z981" s="82"/>
    </row>
    <row r="982" ht="15.75" customHeight="1">
      <c r="U982" s="82"/>
      <c r="V982" s="82"/>
      <c r="W982" s="82"/>
      <c r="X982" s="82"/>
      <c r="Y982" s="82"/>
      <c r="Z982" s="82"/>
    </row>
    <row r="983" ht="15.75" customHeight="1">
      <c r="U983" s="82"/>
      <c r="V983" s="82"/>
      <c r="W983" s="82"/>
      <c r="X983" s="82"/>
      <c r="Y983" s="82"/>
      <c r="Z983" s="82"/>
    </row>
    <row r="984" ht="15.75" customHeight="1">
      <c r="U984" s="82"/>
      <c r="V984" s="82"/>
      <c r="W984" s="82"/>
      <c r="X984" s="82"/>
      <c r="Y984" s="82"/>
      <c r="Z984" s="82"/>
    </row>
    <row r="985" ht="15.75" customHeight="1">
      <c r="U985" s="82"/>
      <c r="V985" s="82"/>
      <c r="W985" s="82"/>
      <c r="X985" s="82"/>
      <c r="Y985" s="82"/>
      <c r="Z985" s="82"/>
    </row>
    <row r="986" ht="15.75" customHeight="1">
      <c r="U986" s="82"/>
      <c r="V986" s="82"/>
      <c r="W986" s="82"/>
      <c r="X986" s="82"/>
      <c r="Y986" s="82"/>
      <c r="Z986" s="82"/>
    </row>
    <row r="987" ht="15.75" customHeight="1">
      <c r="U987" s="82"/>
      <c r="V987" s="82"/>
      <c r="W987" s="82"/>
      <c r="X987" s="82"/>
      <c r="Y987" s="82"/>
      <c r="Z987" s="82"/>
    </row>
    <row r="988" ht="15.75" customHeight="1">
      <c r="U988" s="82"/>
      <c r="V988" s="82"/>
      <c r="W988" s="82"/>
      <c r="X988" s="82"/>
      <c r="Y988" s="82"/>
      <c r="Z988" s="82"/>
    </row>
    <row r="989" ht="15.75" customHeight="1">
      <c r="U989" s="82"/>
      <c r="V989" s="82"/>
      <c r="W989" s="82"/>
      <c r="X989" s="82"/>
      <c r="Y989" s="82"/>
      <c r="Z989" s="82"/>
    </row>
    <row r="990" ht="15.75" customHeight="1">
      <c r="U990" s="82"/>
      <c r="V990" s="82"/>
      <c r="W990" s="82"/>
      <c r="X990" s="82"/>
      <c r="Y990" s="82"/>
      <c r="Z990" s="82"/>
    </row>
    <row r="991" ht="15.75" customHeight="1">
      <c r="U991" s="82"/>
      <c r="V991" s="82"/>
      <c r="W991" s="82"/>
      <c r="X991" s="82"/>
      <c r="Y991" s="82"/>
      <c r="Z991" s="82"/>
    </row>
    <row r="992" ht="15.75" customHeight="1">
      <c r="U992" s="82"/>
      <c r="V992" s="82"/>
      <c r="W992" s="82"/>
      <c r="X992" s="82"/>
      <c r="Y992" s="82"/>
      <c r="Z992" s="82"/>
    </row>
    <row r="993" ht="15.75" customHeight="1">
      <c r="U993" s="82"/>
      <c r="V993" s="82"/>
      <c r="W993" s="82"/>
      <c r="X993" s="82"/>
      <c r="Y993" s="82"/>
      <c r="Z993" s="82"/>
    </row>
    <row r="994" ht="15.75" customHeight="1">
      <c r="U994" s="82"/>
      <c r="V994" s="82"/>
      <c r="W994" s="82"/>
      <c r="X994" s="82"/>
      <c r="Y994" s="82"/>
      <c r="Z994" s="82"/>
    </row>
    <row r="995" ht="15.75" customHeight="1">
      <c r="U995" s="82"/>
      <c r="V995" s="82"/>
      <c r="W995" s="82"/>
      <c r="X995" s="82"/>
      <c r="Y995" s="82"/>
      <c r="Z995" s="82"/>
    </row>
    <row r="996" ht="15.75" customHeight="1">
      <c r="U996" s="82"/>
      <c r="V996" s="82"/>
      <c r="W996" s="82"/>
      <c r="X996" s="82"/>
      <c r="Y996" s="82"/>
      <c r="Z996" s="82"/>
    </row>
    <row r="997" ht="15.75" customHeight="1">
      <c r="U997" s="82"/>
      <c r="V997" s="82"/>
      <c r="W997" s="82"/>
      <c r="X997" s="82"/>
      <c r="Y997" s="82"/>
      <c r="Z997" s="82"/>
    </row>
    <row r="998" ht="15.75" customHeight="1">
      <c r="U998" s="82"/>
      <c r="V998" s="82"/>
      <c r="W998" s="82"/>
      <c r="X998" s="82"/>
      <c r="Y998" s="82"/>
      <c r="Z998" s="82"/>
    </row>
    <row r="999" ht="15.75" customHeight="1">
      <c r="U999" s="82"/>
      <c r="V999" s="82"/>
      <c r="W999" s="82"/>
      <c r="X999" s="82"/>
      <c r="Y999" s="82"/>
      <c r="Z999" s="82"/>
    </row>
    <row r="1000" ht="15.75" customHeight="1">
      <c r="U1000" s="82"/>
      <c r="V1000" s="82"/>
      <c r="W1000" s="82"/>
      <c r="X1000" s="82"/>
      <c r="Y1000" s="82"/>
      <c r="Z1000" s="82"/>
    </row>
  </sheetData>
  <mergeCells count="4">
    <mergeCell ref="B2:D2"/>
    <mergeCell ref="B5:F5"/>
    <mergeCell ref="B15:G15"/>
    <mergeCell ref="B31:F31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.86"/>
    <col customWidth="1" min="3" max="3" width="18.43"/>
    <col customWidth="1" min="4" max="4" width="10.0"/>
    <col customWidth="1" min="5" max="6" width="11.0"/>
    <col customWidth="1" min="7" max="7" width="9.86"/>
    <col customWidth="1" min="8" max="8" width="9.29"/>
    <col customWidth="1" min="9" max="9" width="9.43"/>
    <col customWidth="1" min="10" max="10" width="9.71"/>
    <col customWidth="1" min="11" max="11" width="9.29"/>
    <col customWidth="1" min="12" max="12" width="10.0"/>
    <col customWidth="1" min="13" max="13" width="9.86"/>
    <col customWidth="1" min="14" max="14" width="9.43"/>
    <col customWidth="1" min="15" max="17" width="9.29"/>
    <col customWidth="1" min="18" max="18" width="9.14"/>
    <col customWidth="1" min="19" max="19" width="9.43"/>
    <col customWidth="1" min="20" max="20" width="10.0"/>
    <col customWidth="1" min="21" max="21" width="5.14"/>
    <col customWidth="1" min="22" max="22" width="10.29"/>
    <col customWidth="1" min="23" max="23" width="10.71"/>
    <col customWidth="1" min="24" max="24" width="15.86"/>
  </cols>
  <sheetData>
    <row r="2">
      <c r="F2" s="1"/>
    </row>
    <row r="3">
      <c r="B3" s="171" t="s">
        <v>90</v>
      </c>
      <c r="C3" s="4"/>
      <c r="D3" s="4"/>
      <c r="E3" s="172"/>
      <c r="F3" s="6"/>
      <c r="G3" s="173" t="s">
        <v>27</v>
      </c>
      <c r="H3" s="174" t="s">
        <v>2</v>
      </c>
      <c r="I3" s="175" t="s">
        <v>3</v>
      </c>
      <c r="J3" s="176" t="s">
        <v>4</v>
      </c>
      <c r="K3" s="177" t="s">
        <v>5</v>
      </c>
      <c r="L3" s="178" t="s">
        <v>6</v>
      </c>
      <c r="M3" s="179" t="s">
        <v>7</v>
      </c>
      <c r="N3" s="180" t="s">
        <v>8</v>
      </c>
      <c r="O3" s="181" t="s">
        <v>9</v>
      </c>
      <c r="P3" s="182" t="s">
        <v>10</v>
      </c>
      <c r="Q3" s="183" t="s">
        <v>11</v>
      </c>
      <c r="R3" s="184" t="s">
        <v>12</v>
      </c>
      <c r="S3" s="185" t="s">
        <v>13</v>
      </c>
      <c r="T3" s="186" t="s">
        <v>14</v>
      </c>
      <c r="U3" s="5"/>
      <c r="V3" s="5"/>
      <c r="W3" s="5"/>
      <c r="X3" s="187"/>
    </row>
    <row r="4">
      <c r="B4" s="188" t="s">
        <v>15</v>
      </c>
      <c r="C4" s="189"/>
      <c r="D4" s="190" t="s">
        <v>17</v>
      </c>
      <c r="E4" s="190" t="s">
        <v>18</v>
      </c>
      <c r="F4" s="191" t="s">
        <v>19</v>
      </c>
      <c r="G4" s="192">
        <v>2.0</v>
      </c>
      <c r="H4" s="193">
        <v>5.0</v>
      </c>
      <c r="I4" s="194">
        <v>7.0</v>
      </c>
      <c r="J4" s="195">
        <v>10.0</v>
      </c>
      <c r="K4" s="196">
        <v>11.0</v>
      </c>
      <c r="L4" s="197">
        <v>12.0</v>
      </c>
      <c r="M4" s="198">
        <v>13.0</v>
      </c>
      <c r="N4" s="199">
        <v>16.0</v>
      </c>
      <c r="O4" s="200">
        <v>27.0</v>
      </c>
      <c r="P4" s="201">
        <v>69.0</v>
      </c>
      <c r="Q4" s="202">
        <v>76.0</v>
      </c>
      <c r="R4" s="203">
        <v>77.0</v>
      </c>
      <c r="S4" s="122">
        <v>79.0</v>
      </c>
      <c r="T4" s="204">
        <v>81.0</v>
      </c>
      <c r="U4" s="122" t="s">
        <v>20</v>
      </c>
      <c r="V4" s="122" t="s">
        <v>21</v>
      </c>
      <c r="W4" s="122" t="s">
        <v>22</v>
      </c>
      <c r="X4" s="205" t="s">
        <v>91</v>
      </c>
    </row>
    <row r="5">
      <c r="B5" s="172"/>
      <c r="C5" s="172"/>
      <c r="D5" s="172"/>
      <c r="E5" s="172"/>
      <c r="F5" s="6"/>
      <c r="G5" s="5"/>
      <c r="H5" s="5"/>
      <c r="I5" s="5"/>
      <c r="J5" s="206"/>
      <c r="K5" s="5"/>
      <c r="L5" s="5"/>
      <c r="M5" s="5"/>
      <c r="N5" s="5"/>
      <c r="O5" s="5"/>
      <c r="P5" s="5"/>
      <c r="Q5" s="5"/>
      <c r="R5" s="5"/>
      <c r="S5" s="5"/>
      <c r="T5" s="207"/>
      <c r="U5" s="5"/>
      <c r="V5" s="5"/>
      <c r="W5" s="5"/>
      <c r="X5" s="187"/>
    </row>
    <row r="6" ht="90.0" customHeight="1">
      <c r="B6" s="117" t="s">
        <v>92</v>
      </c>
      <c r="C6" s="118"/>
      <c r="D6" s="117">
        <v>6.0</v>
      </c>
      <c r="E6" s="117" t="s">
        <v>93</v>
      </c>
      <c r="F6" s="46">
        <v>37.0</v>
      </c>
      <c r="G6" s="208"/>
      <c r="H6" s="209"/>
      <c r="I6" s="210"/>
      <c r="J6" s="211"/>
      <c r="K6" s="212"/>
      <c r="L6" s="213"/>
      <c r="M6" s="214"/>
      <c r="N6" s="215"/>
      <c r="O6" s="216"/>
      <c r="P6" s="217"/>
      <c r="Q6" s="218"/>
      <c r="R6" s="219"/>
      <c r="S6" s="220"/>
      <c r="T6" s="221"/>
      <c r="U6" s="222">
        <f t="shared" ref="U6:U18" si="1">SUM(G6:T6)</f>
        <v>0</v>
      </c>
      <c r="V6" s="222">
        <f t="shared" ref="V6:V18" si="2">U6*D6</f>
        <v>0</v>
      </c>
      <c r="W6" s="222">
        <f>U6*0.2</f>
        <v>0</v>
      </c>
      <c r="X6" s="223">
        <f t="shared" ref="X6:X18" si="3">U6*F6</f>
        <v>0</v>
      </c>
    </row>
    <row r="7" ht="93.75" customHeight="1">
      <c r="B7" s="120" t="s">
        <v>94</v>
      </c>
      <c r="C7" s="118"/>
      <c r="D7" s="117">
        <v>4.0</v>
      </c>
      <c r="E7" s="117" t="s">
        <v>95</v>
      </c>
      <c r="F7" s="46">
        <v>36.0</v>
      </c>
      <c r="G7" s="208"/>
      <c r="H7" s="209"/>
      <c r="I7" s="210"/>
      <c r="J7" s="224"/>
      <c r="K7" s="212"/>
      <c r="L7" s="213"/>
      <c r="M7" s="214"/>
      <c r="N7" s="215"/>
      <c r="O7" s="216"/>
      <c r="P7" s="217"/>
      <c r="Q7" s="218"/>
      <c r="R7" s="219"/>
      <c r="S7" s="220"/>
      <c r="T7" s="221"/>
      <c r="U7" s="222">
        <f t="shared" si="1"/>
        <v>0</v>
      </c>
      <c r="V7" s="222">
        <f t="shared" si="2"/>
        <v>0</v>
      </c>
      <c r="W7" s="222">
        <f>U7*0.3</f>
        <v>0</v>
      </c>
      <c r="X7" s="223">
        <f t="shared" si="3"/>
        <v>0</v>
      </c>
    </row>
    <row r="8" ht="99.0" customHeight="1">
      <c r="B8" s="120" t="s">
        <v>96</v>
      </c>
      <c r="C8" s="118"/>
      <c r="D8" s="117">
        <v>7.0</v>
      </c>
      <c r="E8" s="117" t="s">
        <v>97</v>
      </c>
      <c r="F8" s="46">
        <v>150.0</v>
      </c>
      <c r="G8" s="208"/>
      <c r="H8" s="209"/>
      <c r="I8" s="210"/>
      <c r="J8" s="224"/>
      <c r="K8" s="212"/>
      <c r="L8" s="213"/>
      <c r="M8" s="214"/>
      <c r="N8" s="215"/>
      <c r="O8" s="216"/>
      <c r="P8" s="217"/>
      <c r="Q8" s="218"/>
      <c r="R8" s="219"/>
      <c r="S8" s="220"/>
      <c r="T8" s="221"/>
      <c r="U8" s="222">
        <f t="shared" si="1"/>
        <v>0</v>
      </c>
      <c r="V8" s="222">
        <f t="shared" si="2"/>
        <v>0</v>
      </c>
      <c r="W8" s="222">
        <f>U8*1.9</f>
        <v>0</v>
      </c>
      <c r="X8" s="223">
        <f t="shared" si="3"/>
        <v>0</v>
      </c>
    </row>
    <row r="9" ht="94.5" customHeight="1">
      <c r="B9" s="120" t="s">
        <v>98</v>
      </c>
      <c r="C9" s="117"/>
      <c r="D9" s="117">
        <v>6.0</v>
      </c>
      <c r="E9" s="117" t="s">
        <v>99</v>
      </c>
      <c r="F9" s="225">
        <v>133.0</v>
      </c>
      <c r="G9" s="208"/>
      <c r="H9" s="209"/>
      <c r="I9" s="210"/>
      <c r="J9" s="224"/>
      <c r="K9" s="212"/>
      <c r="L9" s="213"/>
      <c r="M9" s="214"/>
      <c r="N9" s="215"/>
      <c r="O9" s="216"/>
      <c r="P9" s="217"/>
      <c r="Q9" s="218"/>
      <c r="R9" s="219"/>
      <c r="S9" s="220"/>
      <c r="T9" s="221"/>
      <c r="U9" s="222">
        <f t="shared" si="1"/>
        <v>0</v>
      </c>
      <c r="V9" s="222">
        <f t="shared" si="2"/>
        <v>0</v>
      </c>
      <c r="W9" s="222">
        <f t="shared" ref="W9:W10" si="4">U9*2.2</f>
        <v>0</v>
      </c>
      <c r="X9" s="223">
        <f t="shared" si="3"/>
        <v>0</v>
      </c>
    </row>
    <row r="10" ht="94.5" customHeight="1">
      <c r="B10" s="120" t="s">
        <v>100</v>
      </c>
      <c r="C10" s="117"/>
      <c r="D10" s="117">
        <v>4.0</v>
      </c>
      <c r="E10" s="117" t="s">
        <v>101</v>
      </c>
      <c r="F10" s="225">
        <v>177.0</v>
      </c>
      <c r="G10" s="208"/>
      <c r="H10" s="209"/>
      <c r="I10" s="210"/>
      <c r="J10" s="224"/>
      <c r="K10" s="212"/>
      <c r="L10" s="213"/>
      <c r="M10" s="214"/>
      <c r="N10" s="215"/>
      <c r="O10" s="216"/>
      <c r="P10" s="217"/>
      <c r="Q10" s="218"/>
      <c r="R10" s="219"/>
      <c r="S10" s="220"/>
      <c r="T10" s="221"/>
      <c r="U10" s="222">
        <f t="shared" si="1"/>
        <v>0</v>
      </c>
      <c r="V10" s="222">
        <f t="shared" si="2"/>
        <v>0</v>
      </c>
      <c r="W10" s="222">
        <f t="shared" si="4"/>
        <v>0</v>
      </c>
      <c r="X10" s="223">
        <f t="shared" si="3"/>
        <v>0</v>
      </c>
    </row>
    <row r="11" ht="88.5" customHeight="1">
      <c r="B11" s="120" t="s">
        <v>102</v>
      </c>
      <c r="C11" s="118"/>
      <c r="D11" s="117">
        <v>3.0</v>
      </c>
      <c r="E11" s="117" t="s">
        <v>103</v>
      </c>
      <c r="F11" s="46">
        <v>133.0</v>
      </c>
      <c r="G11" s="208"/>
      <c r="H11" s="209"/>
      <c r="I11" s="210"/>
      <c r="J11" s="224"/>
      <c r="K11" s="212"/>
      <c r="L11" s="213"/>
      <c r="M11" s="214"/>
      <c r="N11" s="215"/>
      <c r="O11" s="216"/>
      <c r="P11" s="217"/>
      <c r="Q11" s="218"/>
      <c r="R11" s="219"/>
      <c r="S11" s="220"/>
      <c r="T11" s="221"/>
      <c r="U11" s="222">
        <f t="shared" si="1"/>
        <v>0</v>
      </c>
      <c r="V11" s="222">
        <f t="shared" si="2"/>
        <v>0</v>
      </c>
      <c r="W11" s="222">
        <f>U11*1.3</f>
        <v>0</v>
      </c>
      <c r="X11" s="223">
        <f t="shared" si="3"/>
        <v>0</v>
      </c>
    </row>
    <row r="12" ht="88.5" customHeight="1">
      <c r="B12" s="120" t="s">
        <v>104</v>
      </c>
      <c r="C12" s="118"/>
      <c r="D12" s="117">
        <v>4.0</v>
      </c>
      <c r="E12" s="117" t="s">
        <v>105</v>
      </c>
      <c r="F12" s="46">
        <v>163.0</v>
      </c>
      <c r="G12" s="208"/>
      <c r="H12" s="209"/>
      <c r="I12" s="210"/>
      <c r="J12" s="224"/>
      <c r="K12" s="212"/>
      <c r="L12" s="213"/>
      <c r="M12" s="214"/>
      <c r="N12" s="215"/>
      <c r="O12" s="216"/>
      <c r="P12" s="217"/>
      <c r="Q12" s="218"/>
      <c r="R12" s="219"/>
      <c r="S12" s="220"/>
      <c r="T12" s="221"/>
      <c r="U12" s="222">
        <f t="shared" si="1"/>
        <v>0</v>
      </c>
      <c r="V12" s="222">
        <f t="shared" si="2"/>
        <v>0</v>
      </c>
      <c r="W12" s="222">
        <f>U12*1.5</f>
        <v>0</v>
      </c>
      <c r="X12" s="223">
        <f t="shared" si="3"/>
        <v>0</v>
      </c>
    </row>
    <row r="13" ht="88.5" customHeight="1">
      <c r="B13" s="120" t="s">
        <v>106</v>
      </c>
      <c r="C13" s="118"/>
      <c r="D13" s="117">
        <v>4.0</v>
      </c>
      <c r="E13" s="117" t="s">
        <v>107</v>
      </c>
      <c r="F13" s="46">
        <v>172.0</v>
      </c>
      <c r="G13" s="208"/>
      <c r="H13" s="209"/>
      <c r="I13" s="210"/>
      <c r="J13" s="224"/>
      <c r="K13" s="212"/>
      <c r="L13" s="213"/>
      <c r="M13" s="214"/>
      <c r="N13" s="215"/>
      <c r="O13" s="216"/>
      <c r="P13" s="217"/>
      <c r="Q13" s="218"/>
      <c r="R13" s="219"/>
      <c r="S13" s="220"/>
      <c r="T13" s="221"/>
      <c r="U13" s="222">
        <f t="shared" si="1"/>
        <v>0</v>
      </c>
      <c r="V13" s="222">
        <f t="shared" si="2"/>
        <v>0</v>
      </c>
      <c r="W13" s="222">
        <f>U13*1.7</f>
        <v>0</v>
      </c>
      <c r="X13" s="223">
        <f t="shared" si="3"/>
        <v>0</v>
      </c>
    </row>
    <row r="14" ht="88.5" customHeight="1">
      <c r="B14" s="120" t="s">
        <v>108</v>
      </c>
      <c r="C14" s="118"/>
      <c r="D14" s="117">
        <v>2.0</v>
      </c>
      <c r="E14" s="117" t="s">
        <v>109</v>
      </c>
      <c r="F14" s="46">
        <v>92.0</v>
      </c>
      <c r="G14" s="208"/>
      <c r="H14" s="209"/>
      <c r="I14" s="210"/>
      <c r="J14" s="224"/>
      <c r="K14" s="212"/>
      <c r="L14" s="213"/>
      <c r="M14" s="214"/>
      <c r="N14" s="215"/>
      <c r="O14" s="216"/>
      <c r="P14" s="217"/>
      <c r="Q14" s="218"/>
      <c r="R14" s="219"/>
      <c r="S14" s="220"/>
      <c r="T14" s="221"/>
      <c r="U14" s="222">
        <f t="shared" si="1"/>
        <v>0</v>
      </c>
      <c r="V14" s="222">
        <f t="shared" si="2"/>
        <v>0</v>
      </c>
      <c r="W14" s="222">
        <f>U14*0.9</f>
        <v>0</v>
      </c>
      <c r="X14" s="223">
        <f t="shared" si="3"/>
        <v>0</v>
      </c>
    </row>
    <row r="15" ht="88.5" customHeight="1">
      <c r="B15" s="120" t="s">
        <v>110</v>
      </c>
      <c r="C15" s="118"/>
      <c r="D15" s="117">
        <v>2.0</v>
      </c>
      <c r="E15" s="117" t="s">
        <v>111</v>
      </c>
      <c r="F15" s="46">
        <v>39.0</v>
      </c>
      <c r="G15" s="208"/>
      <c r="H15" s="209"/>
      <c r="I15" s="210"/>
      <c r="J15" s="224"/>
      <c r="K15" s="212"/>
      <c r="L15" s="213"/>
      <c r="M15" s="214"/>
      <c r="N15" s="215"/>
      <c r="O15" s="216"/>
      <c r="P15" s="217"/>
      <c r="Q15" s="218"/>
      <c r="R15" s="219"/>
      <c r="S15" s="220"/>
      <c r="T15" s="221"/>
      <c r="U15" s="222">
        <f t="shared" si="1"/>
        <v>0</v>
      </c>
      <c r="V15" s="222">
        <f t="shared" si="2"/>
        <v>0</v>
      </c>
      <c r="W15" s="222">
        <f>U15*0.5</f>
        <v>0</v>
      </c>
      <c r="X15" s="223">
        <f t="shared" si="3"/>
        <v>0</v>
      </c>
    </row>
    <row r="16" ht="102.0" customHeight="1">
      <c r="B16" s="120" t="s">
        <v>112</v>
      </c>
      <c r="C16" s="117"/>
      <c r="D16" s="117">
        <v>2.0</v>
      </c>
      <c r="E16" s="117" t="s">
        <v>113</v>
      </c>
      <c r="F16" s="225">
        <v>100.0</v>
      </c>
      <c r="G16" s="208"/>
      <c r="H16" s="209"/>
      <c r="I16" s="210"/>
      <c r="J16" s="224"/>
      <c r="K16" s="212"/>
      <c r="L16" s="213"/>
      <c r="M16" s="214"/>
      <c r="N16" s="215"/>
      <c r="O16" s="216"/>
      <c r="P16" s="217"/>
      <c r="Q16" s="218"/>
      <c r="R16" s="219"/>
      <c r="S16" s="220"/>
      <c r="T16" s="221"/>
      <c r="U16" s="222">
        <f t="shared" si="1"/>
        <v>0</v>
      </c>
      <c r="V16" s="222">
        <f t="shared" si="2"/>
        <v>0</v>
      </c>
      <c r="W16" s="222">
        <f>U16*1</f>
        <v>0</v>
      </c>
      <c r="X16" s="223">
        <f t="shared" si="3"/>
        <v>0</v>
      </c>
    </row>
    <row r="17" ht="100.5" customHeight="1">
      <c r="B17" s="120" t="s">
        <v>114</v>
      </c>
      <c r="C17" s="117"/>
      <c r="D17" s="117">
        <v>2.0</v>
      </c>
      <c r="E17" s="117" t="s">
        <v>115</v>
      </c>
      <c r="F17" s="225">
        <v>193.0</v>
      </c>
      <c r="G17" s="208"/>
      <c r="H17" s="209"/>
      <c r="I17" s="210"/>
      <c r="J17" s="224"/>
      <c r="K17" s="212"/>
      <c r="L17" s="213"/>
      <c r="M17" s="214"/>
      <c r="N17" s="215"/>
      <c r="O17" s="216"/>
      <c r="P17" s="217"/>
      <c r="Q17" s="218"/>
      <c r="R17" s="219"/>
      <c r="S17" s="220"/>
      <c r="T17" s="221"/>
      <c r="U17" s="222">
        <f t="shared" si="1"/>
        <v>0</v>
      </c>
      <c r="V17" s="222">
        <f t="shared" si="2"/>
        <v>0</v>
      </c>
      <c r="W17" s="222">
        <f>U17*2.4</f>
        <v>0</v>
      </c>
      <c r="X17" s="223">
        <f t="shared" si="3"/>
        <v>0</v>
      </c>
    </row>
    <row r="18" ht="105.75" customHeight="1">
      <c r="B18" s="120" t="s">
        <v>116</v>
      </c>
      <c r="C18" s="117"/>
      <c r="D18" s="117">
        <v>1.0</v>
      </c>
      <c r="E18" s="117" t="s">
        <v>117</v>
      </c>
      <c r="F18" s="225">
        <v>200.0</v>
      </c>
      <c r="G18" s="208"/>
      <c r="H18" s="209"/>
      <c r="I18" s="210"/>
      <c r="J18" s="224"/>
      <c r="K18" s="212"/>
      <c r="L18" s="213"/>
      <c r="M18" s="214"/>
      <c r="N18" s="215"/>
      <c r="O18" s="216"/>
      <c r="P18" s="217"/>
      <c r="Q18" s="218"/>
      <c r="R18" s="219"/>
      <c r="S18" s="220"/>
      <c r="T18" s="221"/>
      <c r="U18" s="222">
        <f t="shared" si="1"/>
        <v>0</v>
      </c>
      <c r="V18" s="222">
        <f t="shared" si="2"/>
        <v>0</v>
      </c>
      <c r="W18" s="222">
        <f>U18*2.7</f>
        <v>0</v>
      </c>
      <c r="X18" s="223">
        <f t="shared" si="3"/>
        <v>0</v>
      </c>
    </row>
    <row r="19">
      <c r="F19" s="6" t="s">
        <v>20</v>
      </c>
      <c r="G19" s="226">
        <f t="shared" ref="G19:X19" si="5">SUM(G6:G18)</f>
        <v>0</v>
      </c>
      <c r="H19" s="226">
        <f t="shared" si="5"/>
        <v>0</v>
      </c>
      <c r="I19" s="226">
        <f t="shared" si="5"/>
        <v>0</v>
      </c>
      <c r="J19" s="226">
        <f t="shared" si="5"/>
        <v>0</v>
      </c>
      <c r="K19" s="226">
        <f t="shared" si="5"/>
        <v>0</v>
      </c>
      <c r="L19" s="226">
        <f t="shared" si="5"/>
        <v>0</v>
      </c>
      <c r="M19" s="226">
        <f t="shared" si="5"/>
        <v>0</v>
      </c>
      <c r="N19" s="226">
        <f t="shared" si="5"/>
        <v>0</v>
      </c>
      <c r="O19" s="226">
        <f t="shared" si="5"/>
        <v>0</v>
      </c>
      <c r="P19" s="226">
        <f t="shared" si="5"/>
        <v>0</v>
      </c>
      <c r="Q19" s="226">
        <f t="shared" si="5"/>
        <v>0</v>
      </c>
      <c r="R19" s="226">
        <f t="shared" si="5"/>
        <v>0</v>
      </c>
      <c r="S19" s="226">
        <f t="shared" si="5"/>
        <v>0</v>
      </c>
      <c r="T19" s="226">
        <f t="shared" si="5"/>
        <v>0</v>
      </c>
      <c r="U19" s="226">
        <f t="shared" si="5"/>
        <v>0</v>
      </c>
      <c r="V19" s="226">
        <f t="shared" si="5"/>
        <v>0</v>
      </c>
      <c r="W19" s="226">
        <f t="shared" si="5"/>
        <v>0</v>
      </c>
      <c r="X19" s="227">
        <f t="shared" si="5"/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29"/>
    <col customWidth="1" min="2" max="2" width="13.43"/>
    <col customWidth="1" min="3" max="3" width="19.43"/>
    <col customWidth="1" min="4" max="4" width="8.29"/>
    <col customWidth="1" min="5" max="5" width="6.43"/>
    <col customWidth="1" min="6" max="6" width="8.43"/>
    <col customWidth="1" min="7" max="11" width="9.14"/>
    <col customWidth="1" min="12" max="13" width="9.43"/>
    <col customWidth="1" min="14" max="16" width="9.14"/>
    <col customWidth="1" min="17" max="18" width="8.86"/>
    <col customWidth="1" min="19" max="19" width="9.14"/>
    <col customWidth="1" min="20" max="20" width="9.86"/>
    <col customWidth="1" min="21" max="21" width="5.14"/>
    <col customWidth="1" min="22" max="22" width="7.0"/>
    <col customWidth="1" min="23" max="23" width="8.14"/>
    <col customWidth="1" min="24" max="24" width="11.43"/>
  </cols>
  <sheetData>
    <row r="1">
      <c r="B1" s="228" t="s">
        <v>118</v>
      </c>
      <c r="C1" s="229"/>
      <c r="D1" s="229"/>
      <c r="E1" s="229"/>
      <c r="F1" s="229"/>
    </row>
    <row r="2">
      <c r="B2" s="230"/>
      <c r="G2" s="173" t="s">
        <v>27</v>
      </c>
      <c r="H2" s="174" t="s">
        <v>2</v>
      </c>
      <c r="I2" s="231" t="s">
        <v>3</v>
      </c>
      <c r="J2" s="176" t="s">
        <v>4</v>
      </c>
      <c r="K2" s="232" t="s">
        <v>5</v>
      </c>
      <c r="L2" s="178" t="s">
        <v>6</v>
      </c>
      <c r="M2" s="179" t="s">
        <v>7</v>
      </c>
      <c r="N2" s="180" t="s">
        <v>8</v>
      </c>
      <c r="O2" s="181" t="s">
        <v>9</v>
      </c>
      <c r="P2" s="182" t="s">
        <v>10</v>
      </c>
      <c r="Q2" s="183" t="s">
        <v>11</v>
      </c>
      <c r="R2" s="184" t="s">
        <v>12</v>
      </c>
      <c r="S2" s="185" t="s">
        <v>13</v>
      </c>
      <c r="T2" s="186" t="s">
        <v>14</v>
      </c>
      <c r="U2" s="5"/>
      <c r="V2" s="5"/>
      <c r="W2" s="5"/>
      <c r="X2" s="187"/>
      <c r="Y2" s="187"/>
    </row>
    <row r="3">
      <c r="B3" s="188" t="s">
        <v>15</v>
      </c>
      <c r="C3" s="189"/>
      <c r="D3" s="190" t="s">
        <v>17</v>
      </c>
      <c r="E3" s="190" t="s">
        <v>18</v>
      </c>
      <c r="F3" s="191" t="s">
        <v>19</v>
      </c>
      <c r="G3" s="192">
        <v>2.0</v>
      </c>
      <c r="H3" s="193">
        <v>5.0</v>
      </c>
      <c r="I3" s="233">
        <v>7.0</v>
      </c>
      <c r="J3" s="195">
        <v>10.0</v>
      </c>
      <c r="K3" s="234">
        <v>11.0</v>
      </c>
      <c r="L3" s="197">
        <v>12.0</v>
      </c>
      <c r="M3" s="198">
        <v>13.0</v>
      </c>
      <c r="N3" s="199">
        <v>16.0</v>
      </c>
      <c r="O3" s="200">
        <v>27.0</v>
      </c>
      <c r="P3" s="201">
        <v>69.0</v>
      </c>
      <c r="Q3" s="202">
        <v>76.0</v>
      </c>
      <c r="R3" s="203">
        <v>77.0</v>
      </c>
      <c r="S3" s="122">
        <v>79.0</v>
      </c>
      <c r="T3" s="204">
        <v>81.0</v>
      </c>
      <c r="U3" s="122" t="s">
        <v>20</v>
      </c>
      <c r="V3" s="122" t="s">
        <v>21</v>
      </c>
      <c r="W3" s="122" t="s">
        <v>22</v>
      </c>
      <c r="X3" s="205" t="s">
        <v>91</v>
      </c>
      <c r="Y3" s="187"/>
    </row>
    <row r="4" ht="51.0" customHeight="1">
      <c r="B4" s="235" t="s">
        <v>119</v>
      </c>
      <c r="C4" s="4"/>
      <c r="D4" s="4"/>
      <c r="E4" s="4"/>
      <c r="F4" s="4"/>
      <c r="G4" s="5"/>
      <c r="H4" s="5"/>
      <c r="I4" s="5"/>
      <c r="J4" s="207"/>
      <c r="K4" s="5"/>
      <c r="L4" s="5"/>
      <c r="M4" s="5"/>
      <c r="N4" s="5"/>
      <c r="O4" s="5"/>
      <c r="P4" s="5"/>
      <c r="Q4" s="5"/>
      <c r="R4" s="5"/>
      <c r="S4" s="5"/>
      <c r="T4" s="207"/>
      <c r="U4" s="5"/>
      <c r="V4" s="5"/>
      <c r="W4" s="5"/>
      <c r="X4" s="187"/>
      <c r="Y4" s="187"/>
    </row>
    <row r="5" ht="109.5" customHeight="1">
      <c r="B5" s="120" t="s">
        <v>120</v>
      </c>
      <c r="C5" s="117"/>
      <c r="D5" s="117">
        <v>10.0</v>
      </c>
      <c r="E5" s="117" t="s">
        <v>121</v>
      </c>
      <c r="F5" s="46">
        <v>70.0</v>
      </c>
      <c r="G5" s="208"/>
      <c r="H5" s="209"/>
      <c r="I5" s="236"/>
      <c r="J5" s="224"/>
      <c r="K5" s="237"/>
      <c r="L5" s="213"/>
      <c r="M5" s="214"/>
      <c r="N5" s="215"/>
      <c r="O5" s="216"/>
      <c r="P5" s="217"/>
      <c r="Q5" s="218"/>
      <c r="R5" s="219"/>
      <c r="S5" s="220"/>
      <c r="T5" s="238"/>
      <c r="U5" s="222">
        <f t="shared" ref="U5:U11" si="1">SUM(G5:T5)</f>
        <v>0</v>
      </c>
      <c r="V5" s="222">
        <f t="shared" ref="V5:V8" si="2">U5*D5</f>
        <v>0</v>
      </c>
      <c r="W5" s="222">
        <f>U5*0.9</f>
        <v>0</v>
      </c>
      <c r="X5" s="223">
        <f t="shared" ref="X5:X8" si="3">U5*F5</f>
        <v>0</v>
      </c>
      <c r="Y5" s="187"/>
    </row>
    <row r="6" ht="109.5" customHeight="1">
      <c r="B6" s="120" t="s">
        <v>122</v>
      </c>
      <c r="C6" s="118"/>
      <c r="D6" s="117">
        <v>10.0</v>
      </c>
      <c r="E6" s="117" t="s">
        <v>123</v>
      </c>
      <c r="F6" s="46">
        <v>89.0</v>
      </c>
      <c r="G6" s="208"/>
      <c r="H6" s="209"/>
      <c r="I6" s="236"/>
      <c r="J6" s="224"/>
      <c r="K6" s="237"/>
      <c r="L6" s="213"/>
      <c r="M6" s="214"/>
      <c r="N6" s="215"/>
      <c r="O6" s="216"/>
      <c r="P6" s="217"/>
      <c r="Q6" s="218"/>
      <c r="R6" s="219"/>
      <c r="S6" s="220"/>
      <c r="T6" s="221"/>
      <c r="U6" s="222">
        <f t="shared" si="1"/>
        <v>0</v>
      </c>
      <c r="V6" s="222">
        <f t="shared" si="2"/>
        <v>0</v>
      </c>
      <c r="W6" s="222">
        <f>U6*0.56</f>
        <v>0</v>
      </c>
      <c r="X6" s="223">
        <f t="shared" si="3"/>
        <v>0</v>
      </c>
      <c r="Y6" s="187"/>
    </row>
    <row r="7" ht="109.5" customHeight="1">
      <c r="B7" s="120" t="s">
        <v>124</v>
      </c>
      <c r="C7" s="118"/>
      <c r="D7" s="117">
        <v>10.0</v>
      </c>
      <c r="E7" s="117" t="s">
        <v>125</v>
      </c>
      <c r="F7" s="46">
        <v>117.0</v>
      </c>
      <c r="G7" s="208"/>
      <c r="H7" s="209"/>
      <c r="I7" s="236"/>
      <c r="J7" s="224"/>
      <c r="K7" s="237"/>
      <c r="L7" s="213"/>
      <c r="M7" s="214"/>
      <c r="N7" s="215"/>
      <c r="O7" s="216"/>
      <c r="P7" s="217"/>
      <c r="Q7" s="218"/>
      <c r="R7" s="219"/>
      <c r="S7" s="220"/>
      <c r="T7" s="221"/>
      <c r="U7" s="222">
        <f t="shared" si="1"/>
        <v>0</v>
      </c>
      <c r="V7" s="222">
        <f t="shared" si="2"/>
        <v>0</v>
      </c>
      <c r="W7" s="222">
        <f>U7*1.4</f>
        <v>0</v>
      </c>
      <c r="X7" s="223">
        <f t="shared" si="3"/>
        <v>0</v>
      </c>
      <c r="Y7" s="187"/>
    </row>
    <row r="8" ht="109.5" customHeight="1">
      <c r="B8" s="120" t="s">
        <v>126</v>
      </c>
      <c r="C8" s="118"/>
      <c r="D8" s="117">
        <v>10.0</v>
      </c>
      <c r="E8" s="117" t="s">
        <v>127</v>
      </c>
      <c r="F8" s="46">
        <v>161.0</v>
      </c>
      <c r="G8" s="208"/>
      <c r="H8" s="209"/>
      <c r="I8" s="236"/>
      <c r="J8" s="224"/>
      <c r="K8" s="237"/>
      <c r="L8" s="213"/>
      <c r="M8" s="214"/>
      <c r="N8" s="215"/>
      <c r="O8" s="216"/>
      <c r="P8" s="217"/>
      <c r="Q8" s="218"/>
      <c r="R8" s="219"/>
      <c r="S8" s="220"/>
      <c r="T8" s="221"/>
      <c r="U8" s="222">
        <f t="shared" si="1"/>
        <v>0</v>
      </c>
      <c r="V8" s="222">
        <f t="shared" si="2"/>
        <v>0</v>
      </c>
      <c r="W8" s="222">
        <f>U8*2.2</f>
        <v>0</v>
      </c>
      <c r="X8" s="223">
        <f t="shared" si="3"/>
        <v>0</v>
      </c>
      <c r="Y8" s="187"/>
    </row>
    <row r="9" ht="109.5" customHeight="1">
      <c r="B9" s="239" t="s">
        <v>128</v>
      </c>
      <c r="C9" s="240"/>
      <c r="D9" s="241">
        <v>5.0</v>
      </c>
      <c r="E9" s="241" t="s">
        <v>129</v>
      </c>
      <c r="F9" s="242">
        <v>204.0</v>
      </c>
      <c r="G9" s="243"/>
      <c r="H9" s="244"/>
      <c r="I9" s="245"/>
      <c r="J9" s="246"/>
      <c r="K9" s="247"/>
      <c r="L9" s="248"/>
      <c r="M9" s="249"/>
      <c r="N9" s="250"/>
      <c r="O9" s="251"/>
      <c r="P9" s="252"/>
      <c r="Q9" s="253"/>
      <c r="R9" s="254"/>
      <c r="S9" s="255"/>
      <c r="T9" s="256"/>
      <c r="U9" s="257">
        <f t="shared" si="1"/>
        <v>0</v>
      </c>
      <c r="V9" s="257">
        <f t="shared" ref="V9:V11" si="4">D9*U9</f>
        <v>0</v>
      </c>
      <c r="W9" s="257">
        <f>U9*1.9</f>
        <v>0</v>
      </c>
      <c r="X9" s="258">
        <f t="shared" ref="X9:X11" si="5">F9*U9</f>
        <v>0</v>
      </c>
      <c r="Y9" s="187"/>
    </row>
    <row r="10" ht="109.5" customHeight="1">
      <c r="B10" s="239" t="s">
        <v>130</v>
      </c>
      <c r="C10" s="240"/>
      <c r="D10" s="241">
        <v>2.0</v>
      </c>
      <c r="E10" s="241" t="s">
        <v>131</v>
      </c>
      <c r="F10" s="242">
        <v>129.0</v>
      </c>
      <c r="G10" s="243"/>
      <c r="H10" s="244"/>
      <c r="I10" s="245"/>
      <c r="J10" s="246"/>
      <c r="K10" s="247"/>
      <c r="L10" s="248"/>
      <c r="M10" s="249"/>
      <c r="N10" s="250"/>
      <c r="O10" s="251"/>
      <c r="P10" s="252"/>
      <c r="Q10" s="253"/>
      <c r="R10" s="254"/>
      <c r="S10" s="255"/>
      <c r="T10" s="256"/>
      <c r="U10" s="257">
        <f t="shared" si="1"/>
        <v>0</v>
      </c>
      <c r="V10" s="257">
        <f t="shared" si="4"/>
        <v>0</v>
      </c>
      <c r="W10" s="257">
        <f>U10*3.1</f>
        <v>0</v>
      </c>
      <c r="X10" s="258">
        <f t="shared" si="5"/>
        <v>0</v>
      </c>
      <c r="Y10" s="187"/>
    </row>
    <row r="11" ht="109.5" customHeight="1">
      <c r="B11" s="239" t="s">
        <v>132</v>
      </c>
      <c r="C11" s="240"/>
      <c r="D11" s="241">
        <v>2.0</v>
      </c>
      <c r="E11" s="241" t="s">
        <v>133</v>
      </c>
      <c r="F11" s="242">
        <v>127.0</v>
      </c>
      <c r="G11" s="243"/>
      <c r="H11" s="244"/>
      <c r="I11" s="245"/>
      <c r="J11" s="246"/>
      <c r="K11" s="247"/>
      <c r="L11" s="248"/>
      <c r="M11" s="249"/>
      <c r="N11" s="250"/>
      <c r="O11" s="251"/>
      <c r="P11" s="252"/>
      <c r="Q11" s="253"/>
      <c r="R11" s="254"/>
      <c r="S11" s="255"/>
      <c r="T11" s="256"/>
      <c r="U11" s="257">
        <f t="shared" si="1"/>
        <v>0</v>
      </c>
      <c r="V11" s="257">
        <f t="shared" si="4"/>
        <v>0</v>
      </c>
      <c r="W11" s="257">
        <f>U11*1.4</f>
        <v>0</v>
      </c>
      <c r="X11" s="258">
        <f t="shared" si="5"/>
        <v>0</v>
      </c>
      <c r="Y11" s="187"/>
    </row>
    <row r="12" ht="32.25" customHeight="1">
      <c r="F12" s="6" t="s">
        <v>20</v>
      </c>
      <c r="G12" s="80">
        <f t="shared" ref="G12:X12" si="6">SUM(G5:G11)</f>
        <v>0</v>
      </c>
      <c r="H12" s="80">
        <f t="shared" si="6"/>
        <v>0</v>
      </c>
      <c r="I12" s="80">
        <f t="shared" si="6"/>
        <v>0</v>
      </c>
      <c r="J12" s="80">
        <f t="shared" si="6"/>
        <v>0</v>
      </c>
      <c r="K12" s="80">
        <f t="shared" si="6"/>
        <v>0</v>
      </c>
      <c r="L12" s="80">
        <f t="shared" si="6"/>
        <v>0</v>
      </c>
      <c r="M12" s="80">
        <f t="shared" si="6"/>
        <v>0</v>
      </c>
      <c r="N12" s="80">
        <f t="shared" si="6"/>
        <v>0</v>
      </c>
      <c r="O12" s="80">
        <f t="shared" si="6"/>
        <v>0</v>
      </c>
      <c r="P12" s="80">
        <f t="shared" si="6"/>
        <v>0</v>
      </c>
      <c r="Q12" s="80">
        <f t="shared" si="6"/>
        <v>0</v>
      </c>
      <c r="R12" s="80">
        <f t="shared" si="6"/>
        <v>0</v>
      </c>
      <c r="S12" s="80">
        <f t="shared" si="6"/>
        <v>0</v>
      </c>
      <c r="T12" s="80">
        <f t="shared" si="6"/>
        <v>0</v>
      </c>
      <c r="U12" s="80">
        <f t="shared" si="6"/>
        <v>0</v>
      </c>
      <c r="V12" s="80">
        <f t="shared" si="6"/>
        <v>0</v>
      </c>
      <c r="W12" s="80">
        <f t="shared" si="6"/>
        <v>0</v>
      </c>
      <c r="X12" s="81">
        <f t="shared" si="6"/>
        <v>0</v>
      </c>
      <c r="Y12" s="187"/>
    </row>
    <row r="13" ht="57.0" customHeight="1">
      <c r="B13" s="235" t="s">
        <v>134</v>
      </c>
      <c r="C13" s="4"/>
      <c r="D13" s="4"/>
      <c r="E13" s="4"/>
      <c r="F13" s="4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259"/>
      <c r="R13" s="187"/>
      <c r="S13" s="187"/>
      <c r="T13" s="187"/>
      <c r="U13" s="187"/>
      <c r="V13" s="187"/>
      <c r="W13" s="187"/>
      <c r="X13" s="187"/>
      <c r="Y13" s="187"/>
    </row>
    <row r="14" ht="109.5" customHeight="1">
      <c r="B14" s="117" t="s">
        <v>135</v>
      </c>
      <c r="C14" s="118"/>
      <c r="D14" s="117">
        <v>10.0</v>
      </c>
      <c r="E14" s="117" t="s">
        <v>136</v>
      </c>
      <c r="F14" s="46">
        <v>84.0</v>
      </c>
      <c r="G14" s="208"/>
      <c r="H14" s="209"/>
      <c r="I14" s="236"/>
      <c r="J14" s="224"/>
      <c r="K14" s="237"/>
      <c r="L14" s="213"/>
      <c r="M14" s="214"/>
      <c r="N14" s="215"/>
      <c r="O14" s="216"/>
      <c r="P14" s="217"/>
      <c r="Q14" s="218"/>
      <c r="R14" s="219"/>
      <c r="S14" s="220"/>
      <c r="T14" s="221"/>
      <c r="U14" s="222">
        <f t="shared" ref="U14:U27" si="7">SUM(G14:T14)</f>
        <v>0</v>
      </c>
      <c r="V14" s="222">
        <f>D14*U14</f>
        <v>0</v>
      </c>
      <c r="W14" s="222">
        <f>U14*0.884</f>
        <v>0</v>
      </c>
      <c r="X14" s="223">
        <f>F14*U14</f>
        <v>0</v>
      </c>
      <c r="Y14" s="187"/>
    </row>
    <row r="15" ht="109.5" customHeight="1">
      <c r="B15" s="260" t="s">
        <v>137</v>
      </c>
      <c r="C15" s="240"/>
      <c r="D15" s="241">
        <v>10.0</v>
      </c>
      <c r="E15" s="241" t="s">
        <v>138</v>
      </c>
      <c r="F15" s="242">
        <v>58.0</v>
      </c>
      <c r="G15" s="243"/>
      <c r="H15" s="244"/>
      <c r="I15" s="245"/>
      <c r="J15" s="246"/>
      <c r="K15" s="247"/>
      <c r="L15" s="248"/>
      <c r="M15" s="249"/>
      <c r="N15" s="250"/>
      <c r="O15" s="251"/>
      <c r="P15" s="252"/>
      <c r="Q15" s="253"/>
      <c r="R15" s="254"/>
      <c r="S15" s="255"/>
      <c r="T15" s="256"/>
      <c r="U15" s="257">
        <f t="shared" si="7"/>
        <v>0</v>
      </c>
      <c r="V15" s="257">
        <f>U15*D15</f>
        <v>0</v>
      </c>
      <c r="W15" s="257">
        <f>U15*0.706</f>
        <v>0</v>
      </c>
      <c r="X15" s="258">
        <f>U15*F15</f>
        <v>0</v>
      </c>
      <c r="Y15" s="187"/>
    </row>
    <row r="16" ht="109.5" customHeight="1">
      <c r="B16" s="261" t="s">
        <v>139</v>
      </c>
      <c r="C16" s="151"/>
      <c r="D16" s="117">
        <v>10.0</v>
      </c>
      <c r="E16" s="117" t="s">
        <v>140</v>
      </c>
      <c r="F16" s="46">
        <v>105.0</v>
      </c>
      <c r="G16" s="208"/>
      <c r="H16" s="209"/>
      <c r="I16" s="236"/>
      <c r="J16" s="224"/>
      <c r="K16" s="237"/>
      <c r="L16" s="213"/>
      <c r="M16" s="214"/>
      <c r="N16" s="215"/>
      <c r="O16" s="216"/>
      <c r="P16" s="217"/>
      <c r="Q16" s="218"/>
      <c r="R16" s="219"/>
      <c r="S16" s="220"/>
      <c r="T16" s="221"/>
      <c r="U16" s="222">
        <f t="shared" si="7"/>
        <v>0</v>
      </c>
      <c r="V16" s="222">
        <f t="shared" ref="V16:V21" si="8">D16*U16</f>
        <v>0</v>
      </c>
      <c r="W16" s="222">
        <f>U16*1.323</f>
        <v>0</v>
      </c>
      <c r="X16" s="262">
        <f t="shared" ref="X16:X21" si="9">F16*U16</f>
        <v>0</v>
      </c>
      <c r="Y16" s="187"/>
    </row>
    <row r="17" ht="109.5" customHeight="1">
      <c r="B17" s="260" t="s">
        <v>141</v>
      </c>
      <c r="C17" s="240"/>
      <c r="D17" s="241">
        <v>10.0</v>
      </c>
      <c r="E17" s="241" t="s">
        <v>142</v>
      </c>
      <c r="F17" s="242">
        <v>139.0</v>
      </c>
      <c r="G17" s="243"/>
      <c r="H17" s="244"/>
      <c r="I17" s="245"/>
      <c r="J17" s="246"/>
      <c r="K17" s="247"/>
      <c r="L17" s="248"/>
      <c r="M17" s="249"/>
      <c r="N17" s="250"/>
      <c r="O17" s="251"/>
      <c r="P17" s="252"/>
      <c r="Q17" s="253"/>
      <c r="R17" s="254"/>
      <c r="S17" s="255"/>
      <c r="T17" s="256"/>
      <c r="U17" s="257">
        <f t="shared" si="7"/>
        <v>0</v>
      </c>
      <c r="V17" s="257">
        <f t="shared" si="8"/>
        <v>0</v>
      </c>
      <c r="W17" s="257">
        <f>U17*2</f>
        <v>0</v>
      </c>
      <c r="X17" s="258">
        <f t="shared" si="9"/>
        <v>0</v>
      </c>
      <c r="Y17" s="187"/>
    </row>
    <row r="18" ht="109.5" customHeight="1">
      <c r="B18" s="239" t="s">
        <v>143</v>
      </c>
      <c r="C18" s="240"/>
      <c r="D18" s="241">
        <v>10.0</v>
      </c>
      <c r="E18" s="241" t="s">
        <v>144</v>
      </c>
      <c r="F18" s="242">
        <v>130.0</v>
      </c>
      <c r="G18" s="243"/>
      <c r="H18" s="244"/>
      <c r="I18" s="245"/>
      <c r="J18" s="246"/>
      <c r="K18" s="247"/>
      <c r="L18" s="248"/>
      <c r="M18" s="249"/>
      <c r="N18" s="250"/>
      <c r="O18" s="251"/>
      <c r="P18" s="252"/>
      <c r="Q18" s="253"/>
      <c r="R18" s="254"/>
      <c r="S18" s="255"/>
      <c r="T18" s="256"/>
      <c r="U18" s="257">
        <f t="shared" si="7"/>
        <v>0</v>
      </c>
      <c r="V18" s="257">
        <f t="shared" si="8"/>
        <v>0</v>
      </c>
      <c r="W18" s="257">
        <f>U18*1.71</f>
        <v>0</v>
      </c>
      <c r="X18" s="258">
        <f t="shared" si="9"/>
        <v>0</v>
      </c>
      <c r="Y18" s="187"/>
    </row>
    <row r="19" ht="109.5" customHeight="1">
      <c r="B19" s="239" t="s">
        <v>145</v>
      </c>
      <c r="C19" s="240"/>
      <c r="D19" s="241">
        <v>10.0</v>
      </c>
      <c r="E19" s="241" t="s">
        <v>146</v>
      </c>
      <c r="F19" s="242">
        <v>166.0</v>
      </c>
      <c r="G19" s="243"/>
      <c r="H19" s="244"/>
      <c r="I19" s="245"/>
      <c r="J19" s="246"/>
      <c r="K19" s="247"/>
      <c r="L19" s="248"/>
      <c r="M19" s="249"/>
      <c r="N19" s="250"/>
      <c r="O19" s="251"/>
      <c r="P19" s="252"/>
      <c r="Q19" s="253"/>
      <c r="R19" s="254"/>
      <c r="S19" s="255"/>
      <c r="T19" s="256"/>
      <c r="U19" s="257">
        <f t="shared" si="7"/>
        <v>0</v>
      </c>
      <c r="V19" s="257">
        <f t="shared" si="8"/>
        <v>0</v>
      </c>
      <c r="W19" s="257">
        <f>U19*2.473</f>
        <v>0</v>
      </c>
      <c r="X19" s="258">
        <f t="shared" si="9"/>
        <v>0</v>
      </c>
      <c r="Y19" s="187"/>
    </row>
    <row r="20" ht="109.5" customHeight="1">
      <c r="B20" s="239" t="s">
        <v>147</v>
      </c>
      <c r="C20" s="263"/>
      <c r="D20" s="241">
        <v>3.0</v>
      </c>
      <c r="E20" s="241" t="s">
        <v>148</v>
      </c>
      <c r="F20" s="242">
        <v>100.0</v>
      </c>
      <c r="G20" s="243"/>
      <c r="H20" s="244"/>
      <c r="I20" s="245"/>
      <c r="J20" s="246"/>
      <c r="K20" s="247"/>
      <c r="L20" s="248"/>
      <c r="M20" s="249"/>
      <c r="N20" s="250"/>
      <c r="O20" s="251"/>
      <c r="P20" s="252"/>
      <c r="Q20" s="253"/>
      <c r="R20" s="254"/>
      <c r="S20" s="255"/>
      <c r="T20" s="256"/>
      <c r="U20" s="257">
        <f t="shared" si="7"/>
        <v>0</v>
      </c>
      <c r="V20" s="257">
        <f t="shared" si="8"/>
        <v>0</v>
      </c>
      <c r="W20" s="257">
        <f>U20*0.91</f>
        <v>0</v>
      </c>
      <c r="X20" s="258">
        <f t="shared" si="9"/>
        <v>0</v>
      </c>
      <c r="Y20" s="187"/>
    </row>
    <row r="21" ht="109.5" customHeight="1">
      <c r="B21" s="239" t="s">
        <v>149</v>
      </c>
      <c r="C21" s="263"/>
      <c r="D21" s="241">
        <v>3.0</v>
      </c>
      <c r="E21" s="241" t="s">
        <v>150</v>
      </c>
      <c r="F21" s="242">
        <v>96.0</v>
      </c>
      <c r="G21" s="243"/>
      <c r="H21" s="244"/>
      <c r="I21" s="245"/>
      <c r="J21" s="246"/>
      <c r="K21" s="247"/>
      <c r="L21" s="248"/>
      <c r="M21" s="249"/>
      <c r="N21" s="250"/>
      <c r="O21" s="251"/>
      <c r="P21" s="252"/>
      <c r="Q21" s="253"/>
      <c r="R21" s="254"/>
      <c r="S21" s="255"/>
      <c r="T21" s="256"/>
      <c r="U21" s="257">
        <f t="shared" si="7"/>
        <v>0</v>
      </c>
      <c r="V21" s="257">
        <f t="shared" si="8"/>
        <v>0</v>
      </c>
      <c r="W21" s="257">
        <f>U21*0.84</f>
        <v>0</v>
      </c>
      <c r="X21" s="258">
        <f t="shared" si="9"/>
        <v>0</v>
      </c>
      <c r="Y21" s="187"/>
    </row>
    <row r="22" ht="109.5" customHeight="1">
      <c r="B22" s="239" t="s">
        <v>151</v>
      </c>
      <c r="C22" s="263"/>
      <c r="D22" s="241">
        <v>3.0</v>
      </c>
      <c r="E22" s="241" t="s">
        <v>152</v>
      </c>
      <c r="F22" s="242">
        <v>125.0</v>
      </c>
      <c r="G22" s="243"/>
      <c r="H22" s="244"/>
      <c r="I22" s="245"/>
      <c r="J22" s="246"/>
      <c r="K22" s="247"/>
      <c r="L22" s="248"/>
      <c r="M22" s="249"/>
      <c r="N22" s="250"/>
      <c r="O22" s="251"/>
      <c r="P22" s="252"/>
      <c r="Q22" s="253"/>
      <c r="R22" s="254"/>
      <c r="S22" s="255"/>
      <c r="T22" s="256"/>
      <c r="U22" s="257">
        <f t="shared" si="7"/>
        <v>0</v>
      </c>
      <c r="V22" s="257">
        <f t="shared" ref="V22:V23" si="10">U22*D22</f>
        <v>0</v>
      </c>
      <c r="W22" s="257">
        <f>U22*1.2</f>
        <v>0</v>
      </c>
      <c r="X22" s="258">
        <f t="shared" ref="X22:X23" si="11">U22*F22</f>
        <v>0</v>
      </c>
      <c r="Y22" s="187"/>
    </row>
    <row r="23" ht="109.5" customHeight="1">
      <c r="B23" s="239" t="s">
        <v>153</v>
      </c>
      <c r="C23" s="263"/>
      <c r="D23" s="241">
        <v>3.0</v>
      </c>
      <c r="E23" s="241" t="s">
        <v>154</v>
      </c>
      <c r="F23" s="242">
        <v>151.0</v>
      </c>
      <c r="G23" s="243"/>
      <c r="H23" s="244"/>
      <c r="I23" s="245"/>
      <c r="J23" s="246"/>
      <c r="K23" s="247"/>
      <c r="L23" s="248"/>
      <c r="M23" s="249"/>
      <c r="N23" s="250"/>
      <c r="O23" s="251"/>
      <c r="P23" s="252"/>
      <c r="Q23" s="253"/>
      <c r="R23" s="254"/>
      <c r="S23" s="255"/>
      <c r="T23" s="256"/>
      <c r="U23" s="257">
        <f t="shared" si="7"/>
        <v>0</v>
      </c>
      <c r="V23" s="257">
        <f t="shared" si="10"/>
        <v>0</v>
      </c>
      <c r="W23" s="257">
        <f>U23*1.6</f>
        <v>0</v>
      </c>
      <c r="X23" s="258">
        <f t="shared" si="11"/>
        <v>0</v>
      </c>
      <c r="Y23" s="187"/>
    </row>
    <row r="24" ht="109.5" customHeight="1">
      <c r="B24" s="239" t="s">
        <v>155</v>
      </c>
      <c r="C24" s="263"/>
      <c r="D24" s="241">
        <v>3.0</v>
      </c>
      <c r="E24" s="241" t="s">
        <v>156</v>
      </c>
      <c r="F24" s="242">
        <v>148.0</v>
      </c>
      <c r="G24" s="243"/>
      <c r="H24" s="244"/>
      <c r="I24" s="245"/>
      <c r="J24" s="246"/>
      <c r="K24" s="247"/>
      <c r="L24" s="248"/>
      <c r="M24" s="249"/>
      <c r="N24" s="250"/>
      <c r="O24" s="251"/>
      <c r="P24" s="252"/>
      <c r="Q24" s="253"/>
      <c r="R24" s="254"/>
      <c r="S24" s="255"/>
      <c r="T24" s="256"/>
      <c r="U24" s="257">
        <f t="shared" si="7"/>
        <v>0</v>
      </c>
      <c r="V24" s="257">
        <f t="shared" ref="V24:V27" si="12">D24*U24</f>
        <v>0</v>
      </c>
      <c r="W24" s="257">
        <f>U24*1.7</f>
        <v>0</v>
      </c>
      <c r="X24" s="258">
        <f t="shared" ref="X24:X27" si="13">F24*U24</f>
        <v>0</v>
      </c>
      <c r="Y24" s="187"/>
    </row>
    <row r="25" ht="109.5" customHeight="1">
      <c r="B25" s="260" t="s">
        <v>157</v>
      </c>
      <c r="C25" s="240"/>
      <c r="D25" s="241">
        <v>3.0</v>
      </c>
      <c r="E25" s="241" t="s">
        <v>158</v>
      </c>
      <c r="F25" s="242">
        <v>231.0</v>
      </c>
      <c r="G25" s="243"/>
      <c r="H25" s="244"/>
      <c r="I25" s="245"/>
      <c r="J25" s="246"/>
      <c r="K25" s="247"/>
      <c r="L25" s="248"/>
      <c r="M25" s="249"/>
      <c r="N25" s="250"/>
      <c r="O25" s="251"/>
      <c r="P25" s="252"/>
      <c r="Q25" s="253"/>
      <c r="R25" s="254"/>
      <c r="S25" s="255"/>
      <c r="T25" s="256"/>
      <c r="U25" s="257">
        <f t="shared" si="7"/>
        <v>0</v>
      </c>
      <c r="V25" s="257">
        <f t="shared" si="12"/>
        <v>0</v>
      </c>
      <c r="W25" s="257">
        <f>U25*1.43</f>
        <v>0</v>
      </c>
      <c r="X25" s="258">
        <f t="shared" si="13"/>
        <v>0</v>
      </c>
      <c r="Y25" s="187"/>
    </row>
    <row r="26" ht="109.5" customHeight="1">
      <c r="B26" s="261" t="s">
        <v>159</v>
      </c>
      <c r="C26" s="151"/>
      <c r="D26" s="117">
        <v>3.0</v>
      </c>
      <c r="E26" s="117" t="s">
        <v>160</v>
      </c>
      <c r="F26" s="46">
        <v>243.0</v>
      </c>
      <c r="G26" s="208"/>
      <c r="H26" s="209"/>
      <c r="I26" s="236"/>
      <c r="J26" s="224"/>
      <c r="K26" s="237"/>
      <c r="L26" s="213"/>
      <c r="M26" s="214"/>
      <c r="N26" s="215"/>
      <c r="O26" s="216"/>
      <c r="P26" s="217"/>
      <c r="Q26" s="218"/>
      <c r="R26" s="219"/>
      <c r="S26" s="220"/>
      <c r="T26" s="221"/>
      <c r="U26" s="222">
        <f t="shared" si="7"/>
        <v>0</v>
      </c>
      <c r="V26" s="222">
        <f t="shared" si="12"/>
        <v>0</v>
      </c>
      <c r="W26" s="222">
        <f>U26*3.3</f>
        <v>0</v>
      </c>
      <c r="X26" s="262">
        <f t="shared" si="13"/>
        <v>0</v>
      </c>
      <c r="Y26" s="187"/>
    </row>
    <row r="27" ht="109.5" customHeight="1">
      <c r="B27" s="261" t="s">
        <v>161</v>
      </c>
      <c r="C27" s="151"/>
      <c r="D27" s="117">
        <v>3.0</v>
      </c>
      <c r="E27" s="117" t="s">
        <v>162</v>
      </c>
      <c r="F27" s="46">
        <v>327.0</v>
      </c>
      <c r="G27" s="208"/>
      <c r="H27" s="209"/>
      <c r="I27" s="236"/>
      <c r="J27" s="224"/>
      <c r="K27" s="237"/>
      <c r="L27" s="213"/>
      <c r="M27" s="214"/>
      <c r="N27" s="215"/>
      <c r="O27" s="216"/>
      <c r="P27" s="217"/>
      <c r="Q27" s="218"/>
      <c r="R27" s="219"/>
      <c r="S27" s="220"/>
      <c r="T27" s="221"/>
      <c r="U27" s="222">
        <f t="shared" si="7"/>
        <v>0</v>
      </c>
      <c r="V27" s="222">
        <f t="shared" si="12"/>
        <v>0</v>
      </c>
      <c r="W27" s="222">
        <f>U27*4.637</f>
        <v>0</v>
      </c>
      <c r="X27" s="262">
        <f t="shared" si="13"/>
        <v>0</v>
      </c>
      <c r="Y27" s="187"/>
    </row>
    <row r="28" ht="15.75" customHeight="1">
      <c r="F28" s="6" t="s">
        <v>20</v>
      </c>
      <c r="G28" s="80">
        <f t="shared" ref="G28:X28" si="14">SUM(G14:G27)</f>
        <v>0</v>
      </c>
      <c r="H28" s="80">
        <f t="shared" si="14"/>
        <v>0</v>
      </c>
      <c r="I28" s="80">
        <f t="shared" si="14"/>
        <v>0</v>
      </c>
      <c r="J28" s="80">
        <f t="shared" si="14"/>
        <v>0</v>
      </c>
      <c r="K28" s="80">
        <f t="shared" si="14"/>
        <v>0</v>
      </c>
      <c r="L28" s="80">
        <f t="shared" si="14"/>
        <v>0</v>
      </c>
      <c r="M28" s="80">
        <f t="shared" si="14"/>
        <v>0</v>
      </c>
      <c r="N28" s="80">
        <f t="shared" si="14"/>
        <v>0</v>
      </c>
      <c r="O28" s="80">
        <f t="shared" si="14"/>
        <v>0</v>
      </c>
      <c r="P28" s="80">
        <f t="shared" si="14"/>
        <v>0</v>
      </c>
      <c r="Q28" s="80">
        <f t="shared" si="14"/>
        <v>0</v>
      </c>
      <c r="R28" s="80">
        <f t="shared" si="14"/>
        <v>0</v>
      </c>
      <c r="S28" s="80">
        <f t="shared" si="14"/>
        <v>0</v>
      </c>
      <c r="T28" s="80">
        <f t="shared" si="14"/>
        <v>0</v>
      </c>
      <c r="U28" s="80">
        <f t="shared" si="14"/>
        <v>0</v>
      </c>
      <c r="V28" s="80">
        <f t="shared" si="14"/>
        <v>0</v>
      </c>
      <c r="W28" s="80">
        <f t="shared" si="14"/>
        <v>0</v>
      </c>
      <c r="X28" s="81">
        <f t="shared" si="14"/>
        <v>0</v>
      </c>
      <c r="Y28" s="187"/>
    </row>
    <row r="29" ht="15.7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</row>
    <row r="30" ht="15.75" customHeight="1">
      <c r="F30" s="1"/>
    </row>
    <row r="31" ht="15.75" customHeight="1">
      <c r="F31" s="1"/>
    </row>
    <row r="32" ht="15.75" customHeight="1">
      <c r="F32" s="1"/>
    </row>
    <row r="33" ht="15.75" customHeight="1">
      <c r="F33" s="1"/>
    </row>
    <row r="34" ht="15.75" customHeight="1">
      <c r="F34" s="1"/>
    </row>
    <row r="35" ht="15.75" customHeight="1">
      <c r="F35" s="1"/>
    </row>
    <row r="36" ht="15.75" customHeight="1">
      <c r="F36" s="1"/>
    </row>
    <row r="37" ht="15.75" customHeight="1">
      <c r="F37" s="1"/>
    </row>
    <row r="38" ht="15.75" customHeight="1">
      <c r="F38" s="1"/>
    </row>
    <row r="39" ht="15.75" customHeight="1">
      <c r="F39" s="1"/>
    </row>
    <row r="40" ht="15.75" customHeight="1">
      <c r="F40" s="1"/>
    </row>
    <row r="41" ht="15.75" customHeight="1">
      <c r="F41" s="1"/>
    </row>
    <row r="42" ht="15.75" customHeight="1">
      <c r="F42" s="1"/>
    </row>
    <row r="43" ht="15.75" customHeight="1">
      <c r="F43" s="1"/>
    </row>
    <row r="44" ht="15.75" customHeight="1">
      <c r="F44" s="1"/>
    </row>
    <row r="45" ht="15.75" customHeight="1">
      <c r="F45" s="1"/>
    </row>
    <row r="46" ht="15.75" customHeight="1">
      <c r="F46" s="1"/>
    </row>
    <row r="47" ht="15.75" customHeight="1">
      <c r="F47" s="1"/>
    </row>
    <row r="48" ht="15.75" customHeight="1">
      <c r="F48" s="1"/>
    </row>
    <row r="49" ht="15.75" customHeight="1">
      <c r="F49" s="1"/>
    </row>
    <row r="50" ht="15.75" customHeight="1">
      <c r="F50" s="1"/>
    </row>
    <row r="51" ht="15.75" customHeight="1">
      <c r="F51" s="1"/>
    </row>
    <row r="52" ht="15.75" customHeight="1">
      <c r="F52" s="1"/>
    </row>
    <row r="53" ht="15.75" customHeight="1">
      <c r="F53" s="1"/>
    </row>
    <row r="54" ht="15.75" customHeight="1">
      <c r="F54" s="1"/>
    </row>
    <row r="55" ht="15.75" customHeight="1">
      <c r="F55" s="1"/>
    </row>
    <row r="56" ht="15.75" customHeight="1">
      <c r="F56" s="1"/>
    </row>
    <row r="57" ht="15.75" customHeight="1">
      <c r="F57" s="1"/>
    </row>
    <row r="58" ht="15.75" customHeight="1">
      <c r="F58" s="1"/>
    </row>
    <row r="59" ht="15.75" customHeight="1">
      <c r="F59" s="1"/>
    </row>
    <row r="60" ht="15.75" customHeight="1">
      <c r="F60" s="1"/>
    </row>
    <row r="61" ht="15.75" customHeight="1">
      <c r="F61" s="1"/>
    </row>
    <row r="62" ht="15.75" customHeight="1">
      <c r="F62" s="1"/>
    </row>
    <row r="63" ht="15.75" customHeight="1">
      <c r="F63" s="1"/>
    </row>
    <row r="64" ht="15.75" customHeight="1">
      <c r="F64" s="1"/>
    </row>
    <row r="65" ht="15.75" customHeight="1">
      <c r="F65" s="1"/>
    </row>
    <row r="66" ht="15.75" customHeight="1">
      <c r="F66" s="1"/>
    </row>
    <row r="67" ht="15.75" customHeight="1">
      <c r="F67" s="1"/>
    </row>
    <row r="68" ht="15.75" customHeight="1">
      <c r="F68" s="1"/>
    </row>
    <row r="69" ht="15.75" customHeight="1">
      <c r="F69" s="1"/>
    </row>
    <row r="70" ht="15.75" customHeight="1">
      <c r="F70" s="1"/>
    </row>
    <row r="71" ht="15.75" customHeight="1">
      <c r="F71" s="1"/>
    </row>
    <row r="72" ht="15.75" customHeight="1">
      <c r="F72" s="1"/>
    </row>
    <row r="73" ht="15.75" customHeight="1">
      <c r="F73" s="1"/>
    </row>
    <row r="74" ht="15.75" customHeight="1">
      <c r="F74" s="1"/>
    </row>
    <row r="75" ht="15.75" customHeight="1">
      <c r="F75" s="1"/>
    </row>
    <row r="76" ht="15.75" customHeight="1">
      <c r="F76" s="1"/>
    </row>
    <row r="77" ht="15.75" customHeight="1">
      <c r="F77" s="1"/>
    </row>
    <row r="78" ht="15.75" customHeight="1">
      <c r="F78" s="1"/>
    </row>
    <row r="79" ht="15.75" customHeight="1">
      <c r="F79" s="1"/>
    </row>
    <row r="80" ht="15.75" customHeight="1">
      <c r="F80" s="1"/>
    </row>
    <row r="81" ht="15.75" customHeight="1">
      <c r="F81" s="1"/>
    </row>
    <row r="82" ht="15.75" customHeight="1">
      <c r="F82" s="1"/>
    </row>
    <row r="83" ht="15.75" customHeight="1">
      <c r="F83" s="1"/>
    </row>
    <row r="84" ht="15.75" customHeight="1">
      <c r="F84" s="1"/>
    </row>
    <row r="85" ht="15.75" customHeight="1">
      <c r="F85" s="1"/>
    </row>
    <row r="86" ht="15.75" customHeight="1">
      <c r="F86" s="1"/>
    </row>
    <row r="87" ht="15.75" customHeight="1">
      <c r="F87" s="1"/>
    </row>
    <row r="88" ht="15.75" customHeight="1">
      <c r="F88" s="1"/>
    </row>
    <row r="89" ht="15.75" customHeight="1">
      <c r="F89" s="1"/>
    </row>
    <row r="90" ht="15.75" customHeight="1">
      <c r="F90" s="1"/>
    </row>
    <row r="91" ht="15.75" customHeight="1">
      <c r="F91" s="1"/>
    </row>
    <row r="92" ht="15.75" customHeight="1">
      <c r="F92" s="1"/>
    </row>
    <row r="93" ht="15.75" customHeight="1">
      <c r="F93" s="1"/>
    </row>
    <row r="94" ht="15.75" customHeight="1">
      <c r="F94" s="1"/>
    </row>
    <row r="95" ht="15.75" customHeight="1">
      <c r="F95" s="1"/>
    </row>
    <row r="96" ht="15.75" customHeight="1">
      <c r="F96" s="1"/>
    </row>
    <row r="97" ht="15.75" customHeight="1">
      <c r="F97" s="1"/>
    </row>
    <row r="98" ht="15.75" customHeight="1">
      <c r="F98" s="1"/>
    </row>
    <row r="99" ht="15.75" customHeight="1">
      <c r="F99" s="1"/>
    </row>
    <row r="100" ht="15.75" customHeight="1">
      <c r="F100" s="1"/>
    </row>
    <row r="101" ht="15.75" customHeight="1">
      <c r="F101" s="1"/>
    </row>
    <row r="102" ht="15.75" customHeight="1">
      <c r="F102" s="1"/>
    </row>
    <row r="103" ht="15.75" customHeight="1">
      <c r="F103" s="1"/>
    </row>
    <row r="104" ht="15.75" customHeight="1">
      <c r="F104" s="1"/>
    </row>
    <row r="105" ht="15.75" customHeight="1">
      <c r="F105" s="1"/>
    </row>
    <row r="106" ht="15.75" customHeight="1">
      <c r="F106" s="1"/>
    </row>
    <row r="107" ht="15.75" customHeight="1">
      <c r="F107" s="1"/>
    </row>
    <row r="108" ht="15.75" customHeight="1">
      <c r="F108" s="1"/>
    </row>
    <row r="109" ht="15.75" customHeight="1">
      <c r="F109" s="1"/>
    </row>
    <row r="110" ht="15.75" customHeight="1">
      <c r="F110" s="1"/>
    </row>
    <row r="111" ht="15.75" customHeight="1">
      <c r="F111" s="1"/>
    </row>
    <row r="112" ht="15.75" customHeight="1">
      <c r="F112" s="1"/>
    </row>
    <row r="113" ht="15.75" customHeight="1">
      <c r="F113" s="1"/>
    </row>
    <row r="114" ht="15.75" customHeight="1">
      <c r="F114" s="1"/>
    </row>
    <row r="115" ht="15.75" customHeight="1">
      <c r="F115" s="1"/>
    </row>
    <row r="116" ht="15.75" customHeight="1">
      <c r="F116" s="1"/>
    </row>
    <row r="117" ht="15.75" customHeight="1">
      <c r="F117" s="1"/>
    </row>
    <row r="118" ht="15.75" customHeight="1">
      <c r="F118" s="1"/>
    </row>
    <row r="119" ht="15.75" customHeight="1">
      <c r="F119" s="1"/>
    </row>
    <row r="120" ht="15.75" customHeight="1">
      <c r="F120" s="1"/>
    </row>
    <row r="121" ht="15.75" customHeight="1">
      <c r="F121" s="1"/>
    </row>
    <row r="122" ht="15.75" customHeight="1">
      <c r="F122" s="1"/>
    </row>
    <row r="123" ht="15.75" customHeight="1">
      <c r="F123" s="1"/>
    </row>
    <row r="124" ht="15.75" customHeight="1">
      <c r="F124" s="1"/>
    </row>
    <row r="125" ht="15.75" customHeight="1">
      <c r="F125" s="1"/>
    </row>
    <row r="126" ht="15.75" customHeight="1">
      <c r="F126" s="1"/>
    </row>
    <row r="127" ht="15.75" customHeight="1">
      <c r="F127" s="1"/>
    </row>
    <row r="128" ht="15.75" customHeight="1">
      <c r="F128" s="1"/>
    </row>
    <row r="129" ht="15.75" customHeight="1">
      <c r="F129" s="1"/>
    </row>
    <row r="130" ht="15.75" customHeight="1">
      <c r="F130" s="1"/>
    </row>
    <row r="131" ht="15.75" customHeight="1">
      <c r="F131" s="1"/>
    </row>
    <row r="132" ht="15.75" customHeight="1">
      <c r="F132" s="1"/>
    </row>
    <row r="133" ht="15.75" customHeight="1">
      <c r="F133" s="1"/>
    </row>
    <row r="134" ht="15.75" customHeight="1">
      <c r="F134" s="1"/>
    </row>
    <row r="135" ht="15.75" customHeight="1">
      <c r="F135" s="1"/>
    </row>
    <row r="136" ht="15.75" customHeight="1">
      <c r="F136" s="1"/>
    </row>
    <row r="137" ht="15.75" customHeight="1">
      <c r="F137" s="1"/>
    </row>
    <row r="138" ht="15.75" customHeight="1">
      <c r="F138" s="1"/>
    </row>
    <row r="139" ht="15.75" customHeight="1">
      <c r="F139" s="1"/>
    </row>
    <row r="140" ht="15.75" customHeight="1">
      <c r="F140" s="1"/>
    </row>
    <row r="141" ht="15.75" customHeight="1">
      <c r="F141" s="1"/>
    </row>
    <row r="142" ht="15.75" customHeight="1">
      <c r="F142" s="1"/>
    </row>
    <row r="143" ht="15.75" customHeight="1">
      <c r="F143" s="1"/>
    </row>
    <row r="144" ht="15.75" customHeight="1">
      <c r="F144" s="1"/>
    </row>
    <row r="145" ht="15.75" customHeight="1">
      <c r="F145" s="1"/>
    </row>
    <row r="146" ht="15.75" customHeight="1">
      <c r="F146" s="1"/>
    </row>
    <row r="147" ht="15.75" customHeight="1">
      <c r="F147" s="1"/>
    </row>
    <row r="148" ht="15.75" customHeight="1">
      <c r="F148" s="1"/>
    </row>
    <row r="149" ht="15.75" customHeight="1">
      <c r="F149" s="1"/>
    </row>
    <row r="150" ht="15.75" customHeight="1">
      <c r="F150" s="1"/>
    </row>
    <row r="151" ht="15.75" customHeight="1">
      <c r="F151" s="1"/>
    </row>
    <row r="152" ht="15.75" customHeight="1">
      <c r="F152" s="1"/>
    </row>
    <row r="153" ht="15.75" customHeight="1">
      <c r="F153" s="1"/>
    </row>
    <row r="154" ht="15.75" customHeight="1">
      <c r="F154" s="1"/>
    </row>
    <row r="155" ht="15.75" customHeight="1">
      <c r="F155" s="1"/>
    </row>
    <row r="156" ht="15.75" customHeight="1">
      <c r="F156" s="1"/>
    </row>
    <row r="157" ht="15.75" customHeight="1">
      <c r="F157" s="1"/>
    </row>
    <row r="158" ht="15.75" customHeight="1">
      <c r="F158" s="1"/>
    </row>
    <row r="159" ht="15.75" customHeight="1">
      <c r="F159" s="1"/>
    </row>
    <row r="160" ht="15.75" customHeight="1">
      <c r="F160" s="1"/>
    </row>
    <row r="161" ht="15.75" customHeight="1">
      <c r="F161" s="1"/>
    </row>
    <row r="162" ht="15.75" customHeight="1">
      <c r="F162" s="1"/>
    </row>
    <row r="163" ht="15.75" customHeight="1">
      <c r="F163" s="1"/>
    </row>
    <row r="164" ht="15.75" customHeight="1">
      <c r="F164" s="1"/>
    </row>
    <row r="165" ht="15.75" customHeight="1">
      <c r="F165" s="1"/>
    </row>
    <row r="166" ht="15.75" customHeight="1">
      <c r="F166" s="1"/>
    </row>
    <row r="167" ht="15.75" customHeight="1">
      <c r="F167" s="1"/>
    </row>
    <row r="168" ht="15.75" customHeight="1">
      <c r="F168" s="1"/>
    </row>
    <row r="169" ht="15.75" customHeight="1">
      <c r="F169" s="1"/>
    </row>
    <row r="170" ht="15.75" customHeight="1">
      <c r="F170" s="1"/>
    </row>
    <row r="171" ht="15.75" customHeight="1">
      <c r="F171" s="1"/>
    </row>
    <row r="172" ht="15.75" customHeight="1">
      <c r="F172" s="1"/>
    </row>
    <row r="173" ht="15.75" customHeight="1">
      <c r="F173" s="1"/>
    </row>
    <row r="174" ht="15.75" customHeight="1">
      <c r="F174" s="1"/>
    </row>
    <row r="175" ht="15.75" customHeight="1">
      <c r="F175" s="1"/>
    </row>
    <row r="176" ht="15.75" customHeight="1">
      <c r="F176" s="1"/>
    </row>
    <row r="177" ht="15.75" customHeight="1">
      <c r="F177" s="1"/>
    </row>
    <row r="178" ht="15.75" customHeight="1">
      <c r="F178" s="1"/>
    </row>
    <row r="179" ht="15.75" customHeight="1">
      <c r="F179" s="1"/>
    </row>
    <row r="180" ht="15.75" customHeight="1">
      <c r="F180" s="1"/>
    </row>
    <row r="181" ht="15.75" customHeight="1">
      <c r="F181" s="1"/>
    </row>
    <row r="182" ht="15.75" customHeight="1">
      <c r="F182" s="1"/>
    </row>
    <row r="183" ht="15.75" customHeight="1">
      <c r="F183" s="1"/>
    </row>
    <row r="184" ht="15.75" customHeight="1">
      <c r="F184" s="1"/>
    </row>
    <row r="185" ht="15.75" customHeight="1">
      <c r="F185" s="1"/>
    </row>
    <row r="186" ht="15.75" customHeight="1">
      <c r="F186" s="1"/>
    </row>
    <row r="187" ht="15.75" customHeight="1">
      <c r="F187" s="1"/>
    </row>
    <row r="188" ht="15.75" customHeight="1">
      <c r="F188" s="1"/>
    </row>
    <row r="189" ht="15.75" customHeight="1">
      <c r="F189" s="1"/>
    </row>
    <row r="190" ht="15.75" customHeight="1">
      <c r="F190" s="1"/>
    </row>
    <row r="191" ht="15.75" customHeight="1">
      <c r="F191" s="1"/>
    </row>
    <row r="192" ht="15.75" customHeight="1">
      <c r="F192" s="1"/>
    </row>
    <row r="193" ht="15.75" customHeight="1">
      <c r="F193" s="1"/>
    </row>
    <row r="194" ht="15.75" customHeight="1">
      <c r="F194" s="1"/>
    </row>
    <row r="195" ht="15.75" customHeight="1">
      <c r="F195" s="1"/>
    </row>
    <row r="196" ht="15.75" customHeight="1">
      <c r="F196" s="1"/>
    </row>
    <row r="197" ht="15.75" customHeight="1">
      <c r="F197" s="1"/>
    </row>
    <row r="198" ht="15.75" customHeight="1">
      <c r="F198" s="1"/>
    </row>
    <row r="199" ht="15.75" customHeight="1">
      <c r="F199" s="1"/>
    </row>
    <row r="200" ht="15.75" customHeight="1">
      <c r="F200" s="1"/>
    </row>
    <row r="201" ht="15.75" customHeight="1">
      <c r="F201" s="1"/>
    </row>
    <row r="202" ht="15.75" customHeight="1">
      <c r="F202" s="1"/>
    </row>
    <row r="203" ht="15.75" customHeight="1">
      <c r="F203" s="1"/>
    </row>
    <row r="204" ht="15.75" customHeight="1">
      <c r="F204" s="1"/>
    </row>
    <row r="205" ht="15.75" customHeight="1">
      <c r="F205" s="1"/>
    </row>
    <row r="206" ht="15.75" customHeight="1">
      <c r="F206" s="1"/>
    </row>
    <row r="207" ht="15.75" customHeight="1">
      <c r="F207" s="1"/>
    </row>
    <row r="208" ht="15.75" customHeight="1">
      <c r="F208" s="1"/>
    </row>
    <row r="209" ht="15.75" customHeight="1">
      <c r="F209" s="1"/>
    </row>
    <row r="210" ht="15.75" customHeight="1">
      <c r="F210" s="1"/>
    </row>
    <row r="211" ht="15.75" customHeight="1">
      <c r="F211" s="1"/>
    </row>
    <row r="212" ht="15.75" customHeight="1">
      <c r="F212" s="1"/>
    </row>
    <row r="213" ht="15.75" customHeight="1">
      <c r="F213" s="1"/>
    </row>
    <row r="214" ht="15.75" customHeight="1">
      <c r="F214" s="1"/>
    </row>
    <row r="215" ht="15.75" customHeight="1">
      <c r="F215" s="1"/>
    </row>
    <row r="216" ht="15.75" customHeight="1">
      <c r="F216" s="1"/>
    </row>
    <row r="217" ht="15.75" customHeight="1">
      <c r="F217" s="1"/>
    </row>
    <row r="218" ht="15.75" customHeight="1">
      <c r="F218" s="1"/>
    </row>
    <row r="219" ht="15.75" customHeight="1">
      <c r="F219" s="1"/>
    </row>
    <row r="220" ht="15.75" customHeight="1">
      <c r="F220" s="1"/>
    </row>
    <row r="221" ht="15.75" customHeight="1">
      <c r="F221" s="1"/>
    </row>
    <row r="222" ht="15.75" customHeight="1">
      <c r="F222" s="1"/>
    </row>
    <row r="223" ht="15.75" customHeight="1">
      <c r="F223" s="1"/>
    </row>
    <row r="224" ht="15.75" customHeight="1">
      <c r="F224" s="1"/>
    </row>
    <row r="225" ht="15.75" customHeight="1">
      <c r="F225" s="1"/>
    </row>
    <row r="226" ht="15.75" customHeight="1">
      <c r="F226" s="1"/>
    </row>
    <row r="227" ht="15.75" customHeight="1">
      <c r="F227" s="1"/>
    </row>
    <row r="228" ht="15.75" customHeight="1">
      <c r="F228" s="1"/>
    </row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F2"/>
    <mergeCell ref="B4:F4"/>
    <mergeCell ref="B13:F1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29"/>
    <col customWidth="1" min="2" max="2" width="23.43"/>
    <col customWidth="1" min="3" max="3" width="19.43"/>
    <col customWidth="1" min="4" max="6" width="8.29"/>
    <col customWidth="1" min="7" max="11" width="9.14"/>
    <col customWidth="1" min="12" max="13" width="9.43"/>
    <col customWidth="1" min="14" max="16" width="9.14"/>
    <col customWidth="1" min="17" max="18" width="8.86"/>
    <col customWidth="1" min="19" max="19" width="9.14"/>
    <col customWidth="1" min="20" max="20" width="9.86"/>
    <col customWidth="1" min="21" max="21" width="5.14"/>
    <col customWidth="1" min="22" max="22" width="7.0"/>
    <col customWidth="1" min="23" max="23" width="8.14"/>
    <col customWidth="1" min="24" max="24" width="11.43"/>
  </cols>
  <sheetData>
    <row r="1">
      <c r="B1" s="228" t="s">
        <v>118</v>
      </c>
      <c r="C1" s="229"/>
      <c r="D1" s="229"/>
      <c r="E1" s="229"/>
      <c r="F1" s="229"/>
    </row>
    <row r="2">
      <c r="B2" s="230"/>
      <c r="G2" s="173" t="s">
        <v>27</v>
      </c>
      <c r="H2" s="174" t="s">
        <v>2</v>
      </c>
      <c r="I2" s="231" t="s">
        <v>3</v>
      </c>
      <c r="J2" s="176" t="s">
        <v>4</v>
      </c>
      <c r="K2" s="232" t="s">
        <v>5</v>
      </c>
      <c r="L2" s="178" t="s">
        <v>6</v>
      </c>
      <c r="M2" s="179" t="s">
        <v>7</v>
      </c>
      <c r="N2" s="180" t="s">
        <v>8</v>
      </c>
      <c r="O2" s="181" t="s">
        <v>9</v>
      </c>
      <c r="P2" s="182" t="s">
        <v>10</v>
      </c>
      <c r="Q2" s="183" t="s">
        <v>11</v>
      </c>
      <c r="R2" s="184" t="s">
        <v>12</v>
      </c>
      <c r="S2" s="185" t="s">
        <v>13</v>
      </c>
      <c r="T2" s="186" t="s">
        <v>14</v>
      </c>
      <c r="U2" s="5"/>
      <c r="V2" s="5"/>
      <c r="W2" s="5"/>
      <c r="X2" s="187"/>
      <c r="Y2" s="187"/>
    </row>
    <row r="3">
      <c r="B3" s="188" t="s">
        <v>15</v>
      </c>
      <c r="C3" s="189"/>
      <c r="D3" s="190" t="s">
        <v>17</v>
      </c>
      <c r="E3" s="190" t="s">
        <v>18</v>
      </c>
      <c r="F3" s="191" t="s">
        <v>19</v>
      </c>
      <c r="G3" s="192">
        <v>2.0</v>
      </c>
      <c r="H3" s="193">
        <v>5.0</v>
      </c>
      <c r="I3" s="233">
        <v>7.0</v>
      </c>
      <c r="J3" s="195">
        <v>10.0</v>
      </c>
      <c r="K3" s="234">
        <v>11.0</v>
      </c>
      <c r="L3" s="197">
        <v>12.0</v>
      </c>
      <c r="M3" s="198">
        <v>13.0</v>
      </c>
      <c r="N3" s="199">
        <v>16.0</v>
      </c>
      <c r="O3" s="200">
        <v>27.0</v>
      </c>
      <c r="P3" s="201">
        <v>69.0</v>
      </c>
      <c r="Q3" s="202">
        <v>76.0</v>
      </c>
      <c r="R3" s="203">
        <v>77.0</v>
      </c>
      <c r="S3" s="122">
        <v>79.0</v>
      </c>
      <c r="T3" s="204">
        <v>81.0</v>
      </c>
      <c r="U3" s="122" t="s">
        <v>20</v>
      </c>
      <c r="V3" s="122" t="s">
        <v>21</v>
      </c>
      <c r="W3" s="122" t="s">
        <v>22</v>
      </c>
      <c r="X3" s="205" t="s">
        <v>91</v>
      </c>
      <c r="Y3" s="187"/>
    </row>
    <row r="4">
      <c r="B4" s="172"/>
      <c r="C4" s="172"/>
      <c r="D4" s="172"/>
      <c r="E4" s="172"/>
      <c r="F4" s="6"/>
      <c r="G4" s="5"/>
      <c r="H4" s="5"/>
      <c r="I4" s="5"/>
      <c r="J4" s="207"/>
      <c r="K4" s="5"/>
      <c r="L4" s="5"/>
      <c r="M4" s="5"/>
      <c r="N4" s="5"/>
      <c r="O4" s="5"/>
      <c r="P4" s="5"/>
      <c r="Q4" s="5"/>
      <c r="R4" s="5"/>
      <c r="S4" s="5"/>
      <c r="T4" s="207"/>
      <c r="U4" s="5"/>
      <c r="V4" s="5"/>
      <c r="W4" s="5"/>
      <c r="X4" s="187"/>
      <c r="Y4" s="187"/>
    </row>
    <row r="5" ht="111.0" customHeight="1">
      <c r="B5" s="45" t="s">
        <v>163</v>
      </c>
      <c r="C5" s="117"/>
      <c r="D5" s="45">
        <v>6.0</v>
      </c>
      <c r="E5" s="45" t="s">
        <v>164</v>
      </c>
      <c r="F5" s="264">
        <v>63.0</v>
      </c>
      <c r="G5" s="265"/>
      <c r="H5" s="266"/>
      <c r="I5" s="267"/>
      <c r="J5" s="268"/>
      <c r="K5" s="269"/>
      <c r="L5" s="270"/>
      <c r="M5" s="271"/>
      <c r="N5" s="272"/>
      <c r="O5" s="273"/>
      <c r="P5" s="274"/>
      <c r="Q5" s="275"/>
      <c r="R5" s="276"/>
      <c r="S5" s="277"/>
      <c r="T5" s="278"/>
      <c r="U5" s="279">
        <f t="shared" ref="U5:U13" si="1">SUM(G5:T5)</f>
        <v>0</v>
      </c>
      <c r="V5" s="279">
        <f t="shared" ref="V5:V7" si="2">U5*D5</f>
        <v>0</v>
      </c>
      <c r="W5" s="280">
        <f>U5* 2.44</f>
        <v>0</v>
      </c>
      <c r="X5" s="281">
        <f t="shared" ref="X5:X7" si="3">U5*F5</f>
        <v>0</v>
      </c>
      <c r="Y5" s="187"/>
    </row>
    <row r="6" ht="98.25" customHeight="1">
      <c r="B6" s="45" t="s">
        <v>165</v>
      </c>
      <c r="C6" s="118"/>
      <c r="D6" s="45">
        <v>3.0</v>
      </c>
      <c r="E6" s="45" t="s">
        <v>166</v>
      </c>
      <c r="F6" s="264">
        <v>57.0</v>
      </c>
      <c r="G6" s="265"/>
      <c r="H6" s="266"/>
      <c r="I6" s="267"/>
      <c r="J6" s="282"/>
      <c r="K6" s="269"/>
      <c r="L6" s="270"/>
      <c r="M6" s="271"/>
      <c r="N6" s="272"/>
      <c r="O6" s="273"/>
      <c r="P6" s="274"/>
      <c r="Q6" s="275"/>
      <c r="R6" s="276"/>
      <c r="S6" s="277"/>
      <c r="T6" s="278"/>
      <c r="U6" s="279">
        <f t="shared" si="1"/>
        <v>0</v>
      </c>
      <c r="V6" s="279">
        <f t="shared" si="2"/>
        <v>0</v>
      </c>
      <c r="W6" s="280">
        <f>U6* 2.52</f>
        <v>0</v>
      </c>
      <c r="X6" s="281">
        <f t="shared" si="3"/>
        <v>0</v>
      </c>
      <c r="Y6" s="187"/>
    </row>
    <row r="7" ht="102.0" customHeight="1">
      <c r="B7" s="45" t="s">
        <v>167</v>
      </c>
      <c r="C7" s="118"/>
      <c r="D7" s="45">
        <v>3.0</v>
      </c>
      <c r="E7" s="45" t="s">
        <v>168</v>
      </c>
      <c r="F7" s="264">
        <v>61.0</v>
      </c>
      <c r="G7" s="265"/>
      <c r="H7" s="266"/>
      <c r="I7" s="267"/>
      <c r="J7" s="282"/>
      <c r="K7" s="269"/>
      <c r="L7" s="270"/>
      <c r="M7" s="271"/>
      <c r="N7" s="272"/>
      <c r="O7" s="273"/>
      <c r="P7" s="274"/>
      <c r="Q7" s="275"/>
      <c r="R7" s="276"/>
      <c r="S7" s="277"/>
      <c r="T7" s="278"/>
      <c r="U7" s="279">
        <f t="shared" si="1"/>
        <v>0</v>
      </c>
      <c r="V7" s="279">
        <f t="shared" si="2"/>
        <v>0</v>
      </c>
      <c r="W7" s="280">
        <f>U7* 2.63</f>
        <v>0</v>
      </c>
      <c r="X7" s="281">
        <f t="shared" si="3"/>
        <v>0</v>
      </c>
      <c r="Y7" s="187"/>
    </row>
    <row r="8" ht="102.0" customHeight="1">
      <c r="B8" s="45" t="s">
        <v>169</v>
      </c>
      <c r="C8" s="240"/>
      <c r="D8" s="45">
        <v>3.0</v>
      </c>
      <c r="E8" s="45" t="s">
        <v>170</v>
      </c>
      <c r="F8" s="264">
        <v>56.0</v>
      </c>
      <c r="G8" s="283"/>
      <c r="H8" s="284"/>
      <c r="I8" s="285"/>
      <c r="J8" s="286"/>
      <c r="K8" s="287"/>
      <c r="L8" s="288"/>
      <c r="M8" s="289"/>
      <c r="N8" s="290"/>
      <c r="O8" s="291"/>
      <c r="P8" s="292"/>
      <c r="Q8" s="293"/>
      <c r="R8" s="294"/>
      <c r="S8" s="295"/>
      <c r="T8" s="296"/>
      <c r="U8" s="297">
        <f t="shared" si="1"/>
        <v>0</v>
      </c>
      <c r="V8" s="297">
        <f>D8*U8</f>
        <v>0</v>
      </c>
      <c r="W8" s="280">
        <f>U8* 2.35</f>
        <v>0</v>
      </c>
      <c r="X8" s="298">
        <f>F8*U8</f>
        <v>0</v>
      </c>
      <c r="Y8" s="187"/>
    </row>
    <row r="9" ht="94.5" customHeight="1">
      <c r="B9" s="45" t="s">
        <v>171</v>
      </c>
      <c r="C9" s="118"/>
      <c r="D9" s="45">
        <v>3.0</v>
      </c>
      <c r="E9" s="45" t="s">
        <v>172</v>
      </c>
      <c r="F9" s="264">
        <v>65.0</v>
      </c>
      <c r="G9" s="265"/>
      <c r="H9" s="266"/>
      <c r="I9" s="267"/>
      <c r="J9" s="282"/>
      <c r="K9" s="269"/>
      <c r="L9" s="270"/>
      <c r="M9" s="271"/>
      <c r="N9" s="272"/>
      <c r="O9" s="273"/>
      <c r="P9" s="274"/>
      <c r="Q9" s="275"/>
      <c r="R9" s="276"/>
      <c r="S9" s="277"/>
      <c r="T9" s="278"/>
      <c r="U9" s="279">
        <f t="shared" si="1"/>
        <v>0</v>
      </c>
      <c r="V9" s="279">
        <f t="shared" ref="V9:V10" si="4">U9*D9</f>
        <v>0</v>
      </c>
      <c r="W9" s="280">
        <f>U9* 2.83</f>
        <v>0</v>
      </c>
      <c r="X9" s="281">
        <f t="shared" ref="X9:X10" si="5">U9*F9</f>
        <v>0</v>
      </c>
      <c r="Y9" s="187"/>
    </row>
    <row r="10">
      <c r="B10" s="260"/>
      <c r="C10" s="240"/>
      <c r="D10" s="241"/>
      <c r="E10" s="241"/>
      <c r="F10" s="242"/>
      <c r="G10" s="283"/>
      <c r="H10" s="284"/>
      <c r="I10" s="285"/>
      <c r="J10" s="286"/>
      <c r="K10" s="287"/>
      <c r="L10" s="288"/>
      <c r="M10" s="289"/>
      <c r="N10" s="290"/>
      <c r="O10" s="291"/>
      <c r="P10" s="292"/>
      <c r="Q10" s="293"/>
      <c r="R10" s="294"/>
      <c r="S10" s="295"/>
      <c r="T10" s="296"/>
      <c r="U10" s="297">
        <f t="shared" si="1"/>
        <v>0</v>
      </c>
      <c r="V10" s="297">
        <f t="shared" si="4"/>
        <v>0</v>
      </c>
      <c r="W10" s="297"/>
      <c r="X10" s="298">
        <f t="shared" si="5"/>
        <v>0</v>
      </c>
      <c r="Y10" s="187"/>
    </row>
    <row r="11">
      <c r="B11" s="261"/>
      <c r="C11" s="151"/>
      <c r="D11" s="117"/>
      <c r="E11" s="117"/>
      <c r="F11" s="46"/>
      <c r="G11" s="265"/>
      <c r="H11" s="266"/>
      <c r="I11" s="267"/>
      <c r="J11" s="282"/>
      <c r="K11" s="269"/>
      <c r="L11" s="270"/>
      <c r="M11" s="271"/>
      <c r="N11" s="272"/>
      <c r="O11" s="273"/>
      <c r="P11" s="274"/>
      <c r="Q11" s="275"/>
      <c r="R11" s="276"/>
      <c r="S11" s="277"/>
      <c r="T11" s="278"/>
      <c r="U11" s="279">
        <f t="shared" si="1"/>
        <v>0</v>
      </c>
      <c r="V11" s="279">
        <f t="shared" ref="V11:V13" si="6">D11*U11</f>
        <v>0</v>
      </c>
      <c r="W11" s="279"/>
      <c r="X11" s="299">
        <f t="shared" ref="X11:X13" si="7">F11*U11</f>
        <v>0</v>
      </c>
      <c r="Y11" s="187"/>
    </row>
    <row r="12">
      <c r="B12" s="260"/>
      <c r="C12" s="240"/>
      <c r="D12" s="241"/>
      <c r="E12" s="241"/>
      <c r="F12" s="242"/>
      <c r="G12" s="283"/>
      <c r="H12" s="284"/>
      <c r="I12" s="285"/>
      <c r="J12" s="286"/>
      <c r="K12" s="287"/>
      <c r="L12" s="288"/>
      <c r="M12" s="289"/>
      <c r="N12" s="290"/>
      <c r="O12" s="291"/>
      <c r="P12" s="292"/>
      <c r="Q12" s="293"/>
      <c r="R12" s="294"/>
      <c r="S12" s="295"/>
      <c r="T12" s="296"/>
      <c r="U12" s="297">
        <f t="shared" si="1"/>
        <v>0</v>
      </c>
      <c r="V12" s="297">
        <f t="shared" si="6"/>
        <v>0</v>
      </c>
      <c r="W12" s="297"/>
      <c r="X12" s="298">
        <f t="shared" si="7"/>
        <v>0</v>
      </c>
      <c r="Y12" s="187"/>
    </row>
    <row r="13">
      <c r="B13" s="261"/>
      <c r="C13" s="151"/>
      <c r="D13" s="117"/>
      <c r="E13" s="117"/>
      <c r="F13" s="46"/>
      <c r="G13" s="265"/>
      <c r="H13" s="266"/>
      <c r="I13" s="267"/>
      <c r="J13" s="282"/>
      <c r="K13" s="269"/>
      <c r="L13" s="270"/>
      <c r="M13" s="271"/>
      <c r="N13" s="272"/>
      <c r="O13" s="273"/>
      <c r="P13" s="274"/>
      <c r="Q13" s="275"/>
      <c r="R13" s="276"/>
      <c r="S13" s="277"/>
      <c r="T13" s="278"/>
      <c r="U13" s="279">
        <f t="shared" si="1"/>
        <v>0</v>
      </c>
      <c r="V13" s="279">
        <f t="shared" si="6"/>
        <v>0</v>
      </c>
      <c r="W13" s="279"/>
      <c r="X13" s="299">
        <f t="shared" si="7"/>
        <v>0</v>
      </c>
      <c r="Y13" s="187"/>
    </row>
    <row r="14" ht="15.75" customHeight="1">
      <c r="F14" s="1"/>
      <c r="G14" s="80">
        <f t="shared" ref="G14:X14" si="8">SUM(G5:G13)</f>
        <v>0</v>
      </c>
      <c r="H14" s="80">
        <f t="shared" si="8"/>
        <v>0</v>
      </c>
      <c r="I14" s="80">
        <f t="shared" si="8"/>
        <v>0</v>
      </c>
      <c r="J14" s="80">
        <f t="shared" si="8"/>
        <v>0</v>
      </c>
      <c r="K14" s="80">
        <f t="shared" si="8"/>
        <v>0</v>
      </c>
      <c r="L14" s="80">
        <f t="shared" si="8"/>
        <v>0</v>
      </c>
      <c r="M14" s="80">
        <f t="shared" si="8"/>
        <v>0</v>
      </c>
      <c r="N14" s="80">
        <f t="shared" si="8"/>
        <v>0</v>
      </c>
      <c r="O14" s="80">
        <f t="shared" si="8"/>
        <v>0</v>
      </c>
      <c r="P14" s="80">
        <f t="shared" si="8"/>
        <v>0</v>
      </c>
      <c r="Q14" s="80">
        <f t="shared" si="8"/>
        <v>0</v>
      </c>
      <c r="R14" s="80">
        <f t="shared" si="8"/>
        <v>0</v>
      </c>
      <c r="S14" s="80">
        <f t="shared" si="8"/>
        <v>0</v>
      </c>
      <c r="T14" s="80">
        <f t="shared" si="8"/>
        <v>0</v>
      </c>
      <c r="U14" s="80">
        <f t="shared" si="8"/>
        <v>0</v>
      </c>
      <c r="V14" s="80">
        <f t="shared" si="8"/>
        <v>0</v>
      </c>
      <c r="W14" s="80">
        <f t="shared" si="8"/>
        <v>0</v>
      </c>
      <c r="X14" s="81">
        <f t="shared" si="8"/>
        <v>0</v>
      </c>
      <c r="Y14" s="187"/>
    </row>
    <row r="15" ht="15.75" customHeight="1"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</row>
    <row r="16" ht="15.75" customHeight="1">
      <c r="F16" s="1"/>
    </row>
    <row r="17" ht="15.75" customHeight="1">
      <c r="F17" s="1"/>
    </row>
    <row r="18" ht="15.75" customHeight="1">
      <c r="F18" s="1"/>
    </row>
    <row r="19" ht="15.75" customHeight="1">
      <c r="F19" s="1"/>
    </row>
    <row r="20" ht="15.75" customHeight="1">
      <c r="F20" s="1"/>
    </row>
    <row r="21" ht="15.75" customHeight="1">
      <c r="F21" s="1"/>
    </row>
    <row r="22" ht="15.75" customHeight="1">
      <c r="F22" s="1"/>
    </row>
    <row r="23" ht="15.75" customHeight="1">
      <c r="F23" s="1"/>
    </row>
    <row r="24" ht="15.75" customHeight="1">
      <c r="F24" s="1"/>
    </row>
    <row r="25" ht="15.75" customHeight="1">
      <c r="F25" s="1"/>
    </row>
    <row r="26" ht="15.75" customHeight="1">
      <c r="F26" s="1"/>
    </row>
    <row r="27" ht="15.75" customHeight="1">
      <c r="F27" s="1"/>
    </row>
    <row r="28" ht="15.75" customHeight="1">
      <c r="F28" s="1"/>
    </row>
    <row r="29" ht="15.75" customHeight="1">
      <c r="F29" s="1"/>
    </row>
    <row r="30" ht="15.75" customHeight="1">
      <c r="F30" s="1"/>
    </row>
    <row r="31" ht="15.75" customHeight="1">
      <c r="F31" s="1"/>
    </row>
    <row r="32" ht="15.75" customHeight="1">
      <c r="F32" s="1"/>
    </row>
    <row r="33" ht="15.75" customHeight="1">
      <c r="F33" s="1"/>
    </row>
    <row r="34" ht="15.75" customHeight="1">
      <c r="F34" s="1"/>
    </row>
    <row r="35" ht="15.75" customHeight="1">
      <c r="F35" s="1"/>
    </row>
    <row r="36" ht="15.75" customHeight="1">
      <c r="F36" s="1"/>
    </row>
    <row r="37" ht="15.75" customHeight="1">
      <c r="F37" s="1"/>
    </row>
    <row r="38" ht="15.75" customHeight="1">
      <c r="F38" s="1"/>
    </row>
    <row r="39" ht="15.75" customHeight="1">
      <c r="F39" s="1"/>
    </row>
    <row r="40" ht="15.75" customHeight="1">
      <c r="F40" s="1"/>
    </row>
    <row r="41" ht="15.75" customHeight="1">
      <c r="F41" s="1"/>
    </row>
    <row r="42" ht="15.75" customHeight="1">
      <c r="F42" s="1"/>
    </row>
    <row r="43" ht="15.75" customHeight="1">
      <c r="F43" s="1"/>
    </row>
    <row r="44" ht="15.75" customHeight="1">
      <c r="F44" s="1"/>
    </row>
    <row r="45" ht="15.75" customHeight="1">
      <c r="F45" s="1"/>
    </row>
    <row r="46" ht="15.75" customHeight="1">
      <c r="F46" s="1"/>
    </row>
    <row r="47" ht="15.75" customHeight="1">
      <c r="F47" s="1"/>
    </row>
    <row r="48" ht="15.75" customHeight="1">
      <c r="F48" s="1"/>
    </row>
    <row r="49" ht="15.75" customHeight="1">
      <c r="F49" s="1"/>
    </row>
    <row r="50" ht="15.75" customHeight="1">
      <c r="F50" s="1"/>
    </row>
    <row r="51" ht="15.75" customHeight="1">
      <c r="F51" s="1"/>
    </row>
    <row r="52" ht="15.75" customHeight="1">
      <c r="F52" s="1"/>
    </row>
    <row r="53" ht="15.75" customHeight="1">
      <c r="F53" s="1"/>
    </row>
    <row r="54" ht="15.75" customHeight="1">
      <c r="F54" s="1"/>
    </row>
    <row r="55" ht="15.75" customHeight="1">
      <c r="F55" s="1"/>
    </row>
    <row r="56" ht="15.75" customHeight="1">
      <c r="F56" s="1"/>
    </row>
    <row r="57" ht="15.75" customHeight="1">
      <c r="F57" s="1"/>
    </row>
    <row r="58" ht="15.75" customHeight="1">
      <c r="F58" s="1"/>
    </row>
    <row r="59" ht="15.75" customHeight="1">
      <c r="F59" s="1"/>
    </row>
    <row r="60" ht="15.75" customHeight="1">
      <c r="F60" s="1"/>
    </row>
    <row r="61" ht="15.75" customHeight="1">
      <c r="F61" s="1"/>
    </row>
    <row r="62" ht="15.75" customHeight="1">
      <c r="F62" s="1"/>
    </row>
    <row r="63" ht="15.75" customHeight="1">
      <c r="F63" s="1"/>
    </row>
    <row r="64" ht="15.75" customHeight="1">
      <c r="F64" s="1"/>
    </row>
    <row r="65" ht="15.75" customHeight="1">
      <c r="F65" s="1"/>
    </row>
    <row r="66" ht="15.75" customHeight="1">
      <c r="F66" s="1"/>
    </row>
    <row r="67" ht="15.75" customHeight="1">
      <c r="F67" s="1"/>
    </row>
    <row r="68" ht="15.75" customHeight="1">
      <c r="F68" s="1"/>
    </row>
    <row r="69" ht="15.75" customHeight="1">
      <c r="F69" s="1"/>
    </row>
    <row r="70" ht="15.75" customHeight="1">
      <c r="F70" s="1"/>
    </row>
    <row r="71" ht="15.75" customHeight="1">
      <c r="F71" s="1"/>
    </row>
    <row r="72" ht="15.75" customHeight="1">
      <c r="F72" s="1"/>
    </row>
    <row r="73" ht="15.75" customHeight="1">
      <c r="F73" s="1"/>
    </row>
    <row r="74" ht="15.75" customHeight="1">
      <c r="F74" s="1"/>
    </row>
    <row r="75" ht="15.75" customHeight="1">
      <c r="F75" s="1"/>
    </row>
    <row r="76" ht="15.75" customHeight="1">
      <c r="F76" s="1"/>
    </row>
    <row r="77" ht="15.75" customHeight="1">
      <c r="F77" s="1"/>
    </row>
    <row r="78" ht="15.75" customHeight="1">
      <c r="F78" s="1"/>
    </row>
    <row r="79" ht="15.75" customHeight="1">
      <c r="F79" s="1"/>
    </row>
    <row r="80" ht="15.75" customHeight="1">
      <c r="F80" s="1"/>
    </row>
    <row r="81" ht="15.75" customHeight="1">
      <c r="F81" s="1"/>
    </row>
    <row r="82" ht="15.75" customHeight="1">
      <c r="F82" s="1"/>
    </row>
    <row r="83" ht="15.75" customHeight="1">
      <c r="F83" s="1"/>
    </row>
    <row r="84" ht="15.75" customHeight="1">
      <c r="F84" s="1"/>
    </row>
    <row r="85" ht="15.75" customHeight="1">
      <c r="F85" s="1"/>
    </row>
    <row r="86" ht="15.75" customHeight="1">
      <c r="F86" s="1"/>
    </row>
    <row r="87" ht="15.75" customHeight="1">
      <c r="F87" s="1"/>
    </row>
    <row r="88" ht="15.75" customHeight="1">
      <c r="F88" s="1"/>
    </row>
    <row r="89" ht="15.75" customHeight="1">
      <c r="F89" s="1"/>
    </row>
    <row r="90" ht="15.75" customHeight="1">
      <c r="F90" s="1"/>
    </row>
    <row r="91" ht="15.75" customHeight="1">
      <c r="F91" s="1"/>
    </row>
    <row r="92" ht="15.75" customHeight="1">
      <c r="F92" s="1"/>
    </row>
    <row r="93" ht="15.75" customHeight="1">
      <c r="F93" s="1"/>
    </row>
    <row r="94" ht="15.75" customHeight="1">
      <c r="F94" s="1"/>
    </row>
    <row r="95" ht="15.75" customHeight="1">
      <c r="F95" s="1"/>
    </row>
    <row r="96" ht="15.75" customHeight="1">
      <c r="F96" s="1"/>
    </row>
    <row r="97" ht="15.75" customHeight="1">
      <c r="F97" s="1"/>
    </row>
    <row r="98" ht="15.75" customHeight="1">
      <c r="F98" s="1"/>
    </row>
    <row r="99" ht="15.75" customHeight="1">
      <c r="F99" s="1"/>
    </row>
    <row r="100" ht="15.75" customHeight="1">
      <c r="F100" s="1"/>
    </row>
    <row r="101" ht="15.75" customHeight="1">
      <c r="F101" s="1"/>
    </row>
    <row r="102" ht="15.75" customHeight="1">
      <c r="F102" s="1"/>
    </row>
    <row r="103" ht="15.75" customHeight="1">
      <c r="F103" s="1"/>
    </row>
    <row r="104" ht="15.75" customHeight="1">
      <c r="F104" s="1"/>
    </row>
    <row r="105" ht="15.75" customHeight="1">
      <c r="F105" s="1"/>
    </row>
    <row r="106" ht="15.75" customHeight="1">
      <c r="F106" s="1"/>
    </row>
    <row r="107" ht="15.75" customHeight="1">
      <c r="F107" s="1"/>
    </row>
    <row r="108" ht="15.75" customHeight="1">
      <c r="F108" s="1"/>
    </row>
    <row r="109" ht="15.75" customHeight="1">
      <c r="F109" s="1"/>
    </row>
    <row r="110" ht="15.75" customHeight="1">
      <c r="F110" s="1"/>
    </row>
    <row r="111" ht="15.75" customHeight="1">
      <c r="F111" s="1"/>
    </row>
    <row r="112" ht="15.75" customHeight="1">
      <c r="F112" s="1"/>
    </row>
    <row r="113" ht="15.75" customHeight="1">
      <c r="F113" s="1"/>
    </row>
    <row r="114" ht="15.75" customHeight="1">
      <c r="F114" s="1"/>
    </row>
    <row r="115" ht="15.75" customHeight="1">
      <c r="F115" s="1"/>
    </row>
    <row r="116" ht="15.75" customHeight="1">
      <c r="F116" s="1"/>
    </row>
    <row r="117" ht="15.75" customHeight="1">
      <c r="F117" s="1"/>
    </row>
    <row r="118" ht="15.75" customHeight="1">
      <c r="F118" s="1"/>
    </row>
    <row r="119" ht="15.75" customHeight="1">
      <c r="F119" s="1"/>
    </row>
    <row r="120" ht="15.75" customHeight="1">
      <c r="F120" s="1"/>
    </row>
    <row r="121" ht="15.75" customHeight="1">
      <c r="F121" s="1"/>
    </row>
    <row r="122" ht="15.75" customHeight="1">
      <c r="F122" s="1"/>
    </row>
    <row r="123" ht="15.75" customHeight="1">
      <c r="F123" s="1"/>
    </row>
    <row r="124" ht="15.75" customHeight="1">
      <c r="F124" s="1"/>
    </row>
    <row r="125" ht="15.75" customHeight="1">
      <c r="F125" s="1"/>
    </row>
    <row r="126" ht="15.75" customHeight="1">
      <c r="F126" s="1"/>
    </row>
    <row r="127" ht="15.75" customHeight="1">
      <c r="F127" s="1"/>
    </row>
    <row r="128" ht="15.75" customHeight="1">
      <c r="F128" s="1"/>
    </row>
    <row r="129" ht="15.75" customHeight="1">
      <c r="F129" s="1"/>
    </row>
    <row r="130" ht="15.75" customHeight="1">
      <c r="F130" s="1"/>
    </row>
    <row r="131" ht="15.75" customHeight="1">
      <c r="F131" s="1"/>
    </row>
    <row r="132" ht="15.75" customHeight="1">
      <c r="F132" s="1"/>
    </row>
    <row r="133" ht="15.75" customHeight="1">
      <c r="F133" s="1"/>
    </row>
    <row r="134" ht="15.75" customHeight="1">
      <c r="F134" s="1"/>
    </row>
    <row r="135" ht="15.75" customHeight="1">
      <c r="F135" s="1"/>
    </row>
    <row r="136" ht="15.75" customHeight="1">
      <c r="F136" s="1"/>
    </row>
    <row r="137" ht="15.75" customHeight="1">
      <c r="F137" s="1"/>
    </row>
    <row r="138" ht="15.75" customHeight="1">
      <c r="F138" s="1"/>
    </row>
    <row r="139" ht="15.75" customHeight="1">
      <c r="F139" s="1"/>
    </row>
    <row r="140" ht="15.75" customHeight="1">
      <c r="F140" s="1"/>
    </row>
    <row r="141" ht="15.75" customHeight="1">
      <c r="F141" s="1"/>
    </row>
    <row r="142" ht="15.75" customHeight="1">
      <c r="F142" s="1"/>
    </row>
    <row r="143" ht="15.75" customHeight="1">
      <c r="F143" s="1"/>
    </row>
    <row r="144" ht="15.75" customHeight="1">
      <c r="F144" s="1"/>
    </row>
    <row r="145" ht="15.75" customHeight="1">
      <c r="F145" s="1"/>
    </row>
    <row r="146" ht="15.75" customHeight="1">
      <c r="F146" s="1"/>
    </row>
    <row r="147" ht="15.75" customHeight="1">
      <c r="F147" s="1"/>
    </row>
    <row r="148" ht="15.75" customHeight="1">
      <c r="F148" s="1"/>
    </row>
    <row r="149" ht="15.75" customHeight="1">
      <c r="F149" s="1"/>
    </row>
    <row r="150" ht="15.75" customHeight="1">
      <c r="F150" s="1"/>
    </row>
    <row r="151" ht="15.75" customHeight="1">
      <c r="F151" s="1"/>
    </row>
    <row r="152" ht="15.75" customHeight="1">
      <c r="F152" s="1"/>
    </row>
    <row r="153" ht="15.75" customHeight="1">
      <c r="F153" s="1"/>
    </row>
    <row r="154" ht="15.75" customHeight="1">
      <c r="F154" s="1"/>
    </row>
    <row r="155" ht="15.75" customHeight="1">
      <c r="F155" s="1"/>
    </row>
    <row r="156" ht="15.75" customHeight="1">
      <c r="F156" s="1"/>
    </row>
    <row r="157" ht="15.75" customHeight="1">
      <c r="F157" s="1"/>
    </row>
    <row r="158" ht="15.75" customHeight="1">
      <c r="F158" s="1"/>
    </row>
    <row r="159" ht="15.75" customHeight="1">
      <c r="F159" s="1"/>
    </row>
    <row r="160" ht="15.75" customHeight="1">
      <c r="F160" s="1"/>
    </row>
    <row r="161" ht="15.75" customHeight="1">
      <c r="F161" s="1"/>
    </row>
    <row r="162" ht="15.75" customHeight="1">
      <c r="F162" s="1"/>
    </row>
    <row r="163" ht="15.75" customHeight="1">
      <c r="F163" s="1"/>
    </row>
    <row r="164" ht="15.75" customHeight="1">
      <c r="F164" s="1"/>
    </row>
    <row r="165" ht="15.75" customHeight="1">
      <c r="F165" s="1"/>
    </row>
    <row r="166" ht="15.75" customHeight="1">
      <c r="F166" s="1"/>
    </row>
    <row r="167" ht="15.75" customHeight="1">
      <c r="F167" s="1"/>
    </row>
    <row r="168" ht="15.75" customHeight="1">
      <c r="F168" s="1"/>
    </row>
    <row r="169" ht="15.75" customHeight="1">
      <c r="F169" s="1"/>
    </row>
    <row r="170" ht="15.75" customHeight="1">
      <c r="F170" s="1"/>
    </row>
    <row r="171" ht="15.75" customHeight="1">
      <c r="F171" s="1"/>
    </row>
    <row r="172" ht="15.75" customHeight="1">
      <c r="F172" s="1"/>
    </row>
    <row r="173" ht="15.75" customHeight="1">
      <c r="F173" s="1"/>
    </row>
    <row r="174" ht="15.75" customHeight="1">
      <c r="F174" s="1"/>
    </row>
    <row r="175" ht="15.75" customHeight="1">
      <c r="F175" s="1"/>
    </row>
    <row r="176" ht="15.75" customHeight="1">
      <c r="F176" s="1"/>
    </row>
    <row r="177" ht="15.75" customHeight="1">
      <c r="F177" s="1"/>
    </row>
    <row r="178" ht="15.75" customHeight="1">
      <c r="F178" s="1"/>
    </row>
    <row r="179" ht="15.75" customHeight="1">
      <c r="F179" s="1"/>
    </row>
    <row r="180" ht="15.75" customHeight="1">
      <c r="F180" s="1"/>
    </row>
    <row r="181" ht="15.75" customHeight="1">
      <c r="F181" s="1"/>
    </row>
    <row r="182" ht="15.75" customHeight="1">
      <c r="F182" s="1"/>
    </row>
    <row r="183" ht="15.75" customHeight="1">
      <c r="F183" s="1"/>
    </row>
    <row r="184" ht="15.75" customHeight="1">
      <c r="F184" s="1"/>
    </row>
    <row r="185" ht="15.75" customHeight="1">
      <c r="F185" s="1"/>
    </row>
    <row r="186" ht="15.75" customHeight="1">
      <c r="F186" s="1"/>
    </row>
    <row r="187" ht="15.75" customHeight="1">
      <c r="F187" s="1"/>
    </row>
    <row r="188" ht="15.75" customHeight="1">
      <c r="F188" s="1"/>
    </row>
    <row r="189" ht="15.75" customHeight="1">
      <c r="F189" s="1"/>
    </row>
    <row r="190" ht="15.75" customHeight="1">
      <c r="F190" s="1"/>
    </row>
    <row r="191" ht="15.75" customHeight="1">
      <c r="F191" s="1"/>
    </row>
    <row r="192" ht="15.75" customHeight="1">
      <c r="F192" s="1"/>
    </row>
    <row r="193" ht="15.75" customHeight="1">
      <c r="F193" s="1"/>
    </row>
    <row r="194" ht="15.75" customHeight="1">
      <c r="F194" s="1"/>
    </row>
    <row r="195" ht="15.75" customHeight="1">
      <c r="F195" s="1"/>
    </row>
    <row r="196" ht="15.75" customHeight="1">
      <c r="F196" s="1"/>
    </row>
    <row r="197" ht="15.75" customHeight="1">
      <c r="F197" s="1"/>
    </row>
    <row r="198" ht="15.75" customHeight="1">
      <c r="F198" s="1"/>
    </row>
    <row r="199" ht="15.75" customHeight="1">
      <c r="F199" s="1"/>
    </row>
    <row r="200" ht="15.75" customHeight="1">
      <c r="F200" s="1"/>
    </row>
    <row r="201" ht="15.75" customHeight="1">
      <c r="F201" s="1"/>
    </row>
    <row r="202" ht="15.75" customHeight="1">
      <c r="F202" s="1"/>
    </row>
    <row r="203" ht="15.75" customHeight="1">
      <c r="F203" s="1"/>
    </row>
    <row r="204" ht="15.75" customHeight="1">
      <c r="F204" s="1"/>
    </row>
    <row r="205" ht="15.75" customHeight="1">
      <c r="F205" s="1"/>
    </row>
    <row r="206" ht="15.75" customHeight="1">
      <c r="F206" s="1"/>
    </row>
    <row r="207" ht="15.75" customHeight="1">
      <c r="F207" s="1"/>
    </row>
    <row r="208" ht="15.75" customHeight="1">
      <c r="F208" s="1"/>
    </row>
    <row r="209" ht="15.75" customHeight="1">
      <c r="F209" s="1"/>
    </row>
    <row r="210" ht="15.75" customHeight="1">
      <c r="F210" s="1"/>
    </row>
    <row r="211" ht="15.75" customHeight="1">
      <c r="F211" s="1"/>
    </row>
    <row r="212" ht="15.75" customHeight="1">
      <c r="F212" s="1"/>
    </row>
    <row r="213" ht="15.75" customHeight="1">
      <c r="F213" s="1"/>
    </row>
    <row r="214" ht="15.75" customHeight="1">
      <c r="F214" s="1"/>
    </row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F2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1.86"/>
    <col customWidth="1" min="3" max="3" width="15.43"/>
    <col customWidth="1" min="4" max="4" width="8.29"/>
    <col customWidth="1" min="5" max="5" width="8.14"/>
    <col customWidth="1" min="6" max="6" width="10.0"/>
    <col customWidth="1" min="7" max="11" width="9.14"/>
    <col customWidth="1" min="12" max="13" width="9.43"/>
    <col customWidth="1" min="14" max="16" width="9.14"/>
    <col customWidth="1" min="17" max="18" width="8.86"/>
    <col customWidth="1" min="19" max="19" width="9.14"/>
    <col customWidth="1" min="20" max="20" width="9.86"/>
    <col customWidth="1" min="21" max="21" width="5.14"/>
    <col customWidth="1" min="22" max="22" width="7.0"/>
  </cols>
  <sheetData>
    <row r="3">
      <c r="B3" s="171" t="s">
        <v>173</v>
      </c>
      <c r="C3" s="4"/>
      <c r="D3" s="4"/>
      <c r="G3" s="173" t="s">
        <v>27</v>
      </c>
      <c r="H3" s="174" t="s">
        <v>2</v>
      </c>
      <c r="I3" s="175" t="s">
        <v>3</v>
      </c>
      <c r="J3" s="176" t="s">
        <v>4</v>
      </c>
      <c r="K3" s="177" t="s">
        <v>5</v>
      </c>
      <c r="L3" s="178" t="s">
        <v>6</v>
      </c>
      <c r="M3" s="179" t="s">
        <v>7</v>
      </c>
      <c r="N3" s="180" t="s">
        <v>8</v>
      </c>
      <c r="O3" s="181" t="s">
        <v>9</v>
      </c>
      <c r="P3" s="182" t="s">
        <v>10</v>
      </c>
      <c r="Q3" s="183" t="s">
        <v>11</v>
      </c>
      <c r="R3" s="184" t="s">
        <v>12</v>
      </c>
      <c r="S3" s="185" t="s">
        <v>13</v>
      </c>
      <c r="T3" s="186" t="s">
        <v>14</v>
      </c>
    </row>
    <row r="4">
      <c r="A4" s="188" t="s">
        <v>174</v>
      </c>
      <c r="B4" s="188" t="s">
        <v>15</v>
      </c>
      <c r="C4" s="189"/>
      <c r="D4" s="190" t="s">
        <v>17</v>
      </c>
      <c r="E4" s="190" t="s">
        <v>18</v>
      </c>
      <c r="F4" s="191" t="s">
        <v>19</v>
      </c>
      <c r="G4" s="192">
        <v>2.0</v>
      </c>
      <c r="H4" s="193">
        <v>5.0</v>
      </c>
      <c r="I4" s="194">
        <v>7.0</v>
      </c>
      <c r="J4" s="195">
        <v>10.0</v>
      </c>
      <c r="K4" s="196">
        <v>11.0</v>
      </c>
      <c r="L4" s="197">
        <v>12.0</v>
      </c>
      <c r="M4" s="198">
        <v>13.0</v>
      </c>
      <c r="N4" s="199">
        <v>16.0</v>
      </c>
      <c r="O4" s="200">
        <v>27.0</v>
      </c>
      <c r="P4" s="201">
        <v>69.0</v>
      </c>
      <c r="Q4" s="202">
        <v>76.0</v>
      </c>
      <c r="R4" s="203">
        <v>77.0</v>
      </c>
      <c r="S4" s="122">
        <v>79.0</v>
      </c>
      <c r="T4" s="204">
        <v>81.0</v>
      </c>
      <c r="U4" s="122" t="s">
        <v>20</v>
      </c>
      <c r="V4" s="122" t="s">
        <v>21</v>
      </c>
      <c r="W4" s="122" t="s">
        <v>22</v>
      </c>
      <c r="X4" s="205" t="s">
        <v>91</v>
      </c>
    </row>
    <row r="5">
      <c r="B5" s="172"/>
      <c r="C5" s="172"/>
      <c r="D5" s="172"/>
      <c r="E5" s="172"/>
      <c r="F5" s="6"/>
      <c r="G5" s="5"/>
      <c r="H5" s="5"/>
      <c r="I5" s="5"/>
      <c r="J5" s="206"/>
      <c r="K5" s="5"/>
      <c r="L5" s="5"/>
      <c r="M5" s="5"/>
      <c r="N5" s="5"/>
      <c r="O5" s="5"/>
      <c r="P5" s="5"/>
      <c r="Q5" s="5"/>
      <c r="R5" s="5"/>
      <c r="S5" s="5"/>
      <c r="T5" s="207"/>
      <c r="U5" s="5"/>
      <c r="V5" s="5"/>
      <c r="W5" s="5"/>
      <c r="X5" s="187"/>
    </row>
    <row r="6" ht="79.5" customHeight="1">
      <c r="A6" s="2" t="s">
        <v>175</v>
      </c>
      <c r="B6" s="129" t="s">
        <v>176</v>
      </c>
      <c r="C6" s="300"/>
      <c r="D6" s="131">
        <v>10.0</v>
      </c>
      <c r="E6" s="131" t="s">
        <v>177</v>
      </c>
      <c r="F6" s="301">
        <v>100.0</v>
      </c>
      <c r="G6" s="91"/>
      <c r="H6" s="92"/>
      <c r="I6" s="93"/>
      <c r="J6" s="302"/>
      <c r="K6" s="95"/>
      <c r="L6" s="96"/>
      <c r="M6" s="97"/>
      <c r="N6" s="54"/>
      <c r="O6" s="99"/>
      <c r="P6" s="100"/>
      <c r="Q6" s="101"/>
      <c r="R6" s="102"/>
      <c r="S6" s="103"/>
      <c r="T6" s="104"/>
      <c r="U6" s="303">
        <f t="shared" ref="U6:U27" si="1">SUM(G6:T6)</f>
        <v>0</v>
      </c>
      <c r="V6" s="303">
        <f t="shared" ref="V6:V27" si="2">U6*D6</f>
        <v>0</v>
      </c>
      <c r="W6" s="304">
        <f>1.07*U6</f>
        <v>0</v>
      </c>
      <c r="X6" s="223">
        <f t="shared" ref="X6:X27" si="3">U6*F6</f>
        <v>0</v>
      </c>
    </row>
    <row r="7" ht="75.0" customHeight="1">
      <c r="A7" s="2" t="s">
        <v>178</v>
      </c>
      <c r="B7" s="107" t="s">
        <v>179</v>
      </c>
      <c r="C7" s="305"/>
      <c r="D7" s="45">
        <v>10.0</v>
      </c>
      <c r="E7" s="45" t="s">
        <v>180</v>
      </c>
      <c r="F7" s="264">
        <v>227.0</v>
      </c>
      <c r="G7" s="91"/>
      <c r="H7" s="92"/>
      <c r="I7" s="93"/>
      <c r="J7" s="94"/>
      <c r="K7" s="95"/>
      <c r="L7" s="96"/>
      <c r="M7" s="97"/>
      <c r="N7" s="54"/>
      <c r="O7" s="99"/>
      <c r="P7" s="100"/>
      <c r="Q7" s="101"/>
      <c r="R7" s="102"/>
      <c r="S7" s="103"/>
      <c r="T7" s="104"/>
      <c r="U7" s="303">
        <f t="shared" si="1"/>
        <v>0</v>
      </c>
      <c r="V7" s="303">
        <f t="shared" si="2"/>
        <v>0</v>
      </c>
      <c r="W7" s="306">
        <f>3.3*U7</f>
        <v>0</v>
      </c>
      <c r="X7" s="223">
        <f t="shared" si="3"/>
        <v>0</v>
      </c>
    </row>
    <row r="8" ht="81.75" customHeight="1">
      <c r="A8" s="2" t="s">
        <v>178</v>
      </c>
      <c r="B8" s="107" t="s">
        <v>181</v>
      </c>
      <c r="C8" s="307"/>
      <c r="D8" s="45">
        <v>5.0</v>
      </c>
      <c r="E8" s="45" t="s">
        <v>182</v>
      </c>
      <c r="F8" s="264">
        <v>168.0</v>
      </c>
      <c r="G8" s="91"/>
      <c r="H8" s="92"/>
      <c r="I8" s="93"/>
      <c r="J8" s="94"/>
      <c r="K8" s="95"/>
      <c r="L8" s="96"/>
      <c r="M8" s="97"/>
      <c r="N8" s="54"/>
      <c r="O8" s="99"/>
      <c r="P8" s="100"/>
      <c r="Q8" s="101"/>
      <c r="R8" s="102"/>
      <c r="S8" s="103"/>
      <c r="T8" s="104"/>
      <c r="U8" s="303">
        <f t="shared" si="1"/>
        <v>0</v>
      </c>
      <c r="V8" s="303">
        <f t="shared" si="2"/>
        <v>0</v>
      </c>
      <c r="W8" s="306">
        <f>U8* 2.56</f>
        <v>0</v>
      </c>
      <c r="X8" s="223">
        <f t="shared" si="3"/>
        <v>0</v>
      </c>
    </row>
    <row r="9" ht="78.75" customHeight="1">
      <c r="A9" s="2" t="s">
        <v>183</v>
      </c>
      <c r="B9" s="120" t="s">
        <v>184</v>
      </c>
      <c r="C9" s="307"/>
      <c r="D9" s="45">
        <v>2.0</v>
      </c>
      <c r="E9" s="45" t="s">
        <v>185</v>
      </c>
      <c r="F9" s="264">
        <v>111.0</v>
      </c>
      <c r="G9" s="91"/>
      <c r="H9" s="92"/>
      <c r="I9" s="93"/>
      <c r="J9" s="94"/>
      <c r="K9" s="95"/>
      <c r="L9" s="96"/>
      <c r="M9" s="97"/>
      <c r="N9" s="54"/>
      <c r="O9" s="99"/>
      <c r="P9" s="100"/>
      <c r="Q9" s="101"/>
      <c r="R9" s="102"/>
      <c r="S9" s="103"/>
      <c r="T9" s="104"/>
      <c r="U9" s="303">
        <f t="shared" si="1"/>
        <v>0</v>
      </c>
      <c r="V9" s="303">
        <f t="shared" si="2"/>
        <v>0</v>
      </c>
      <c r="W9" s="306">
        <f>U9* 1.11</f>
        <v>0</v>
      </c>
      <c r="X9" s="223">
        <f t="shared" si="3"/>
        <v>0</v>
      </c>
    </row>
    <row r="10" ht="86.25" customHeight="1">
      <c r="A10" s="2" t="s">
        <v>183</v>
      </c>
      <c r="B10" s="120" t="s">
        <v>186</v>
      </c>
      <c r="C10" s="307"/>
      <c r="D10" s="45">
        <v>2.0</v>
      </c>
      <c r="E10" s="45" t="s">
        <v>187</v>
      </c>
      <c r="F10" s="264">
        <v>99.0</v>
      </c>
      <c r="G10" s="91"/>
      <c r="H10" s="92"/>
      <c r="I10" s="93"/>
      <c r="J10" s="94"/>
      <c r="K10" s="95"/>
      <c r="L10" s="96"/>
      <c r="M10" s="97"/>
      <c r="N10" s="54"/>
      <c r="O10" s="99"/>
      <c r="P10" s="100"/>
      <c r="Q10" s="101"/>
      <c r="R10" s="102"/>
      <c r="S10" s="103"/>
      <c r="T10" s="104"/>
      <c r="U10" s="303">
        <f t="shared" si="1"/>
        <v>0</v>
      </c>
      <c r="V10" s="303">
        <f t="shared" si="2"/>
        <v>0</v>
      </c>
      <c r="W10" s="306">
        <f>U10* 0.97</f>
        <v>0</v>
      </c>
      <c r="X10" s="223">
        <f t="shared" si="3"/>
        <v>0</v>
      </c>
    </row>
    <row r="11" ht="86.25" customHeight="1">
      <c r="A11" s="2" t="s">
        <v>183</v>
      </c>
      <c r="B11" s="120" t="s">
        <v>188</v>
      </c>
      <c r="C11" s="307"/>
      <c r="D11" s="45">
        <v>2.0</v>
      </c>
      <c r="E11" s="45" t="s">
        <v>189</v>
      </c>
      <c r="F11" s="264">
        <v>104.0</v>
      </c>
      <c r="G11" s="91"/>
      <c r="H11" s="92"/>
      <c r="I11" s="93"/>
      <c r="J11" s="94"/>
      <c r="K11" s="95"/>
      <c r="L11" s="96"/>
      <c r="M11" s="97"/>
      <c r="N11" s="54"/>
      <c r="O11" s="99"/>
      <c r="P11" s="100"/>
      <c r="Q11" s="101"/>
      <c r="R11" s="102"/>
      <c r="S11" s="103"/>
      <c r="T11" s="104"/>
      <c r="U11" s="303">
        <f t="shared" si="1"/>
        <v>0</v>
      </c>
      <c r="V11" s="303">
        <f t="shared" si="2"/>
        <v>0</v>
      </c>
      <c r="W11" s="306">
        <f t="shared" ref="W11:W12" si="4">U11* 1.04</f>
        <v>0</v>
      </c>
      <c r="X11" s="223">
        <f t="shared" si="3"/>
        <v>0</v>
      </c>
    </row>
    <row r="12" ht="86.25" customHeight="1">
      <c r="A12" s="2" t="s">
        <v>183</v>
      </c>
      <c r="B12" s="120" t="s">
        <v>190</v>
      </c>
      <c r="C12" s="307"/>
      <c r="D12" s="45">
        <v>2.0</v>
      </c>
      <c r="E12" s="45" t="s">
        <v>191</v>
      </c>
      <c r="F12" s="264">
        <v>104.0</v>
      </c>
      <c r="G12" s="91"/>
      <c r="H12" s="92"/>
      <c r="I12" s="93"/>
      <c r="J12" s="94"/>
      <c r="K12" s="95"/>
      <c r="L12" s="96"/>
      <c r="M12" s="97"/>
      <c r="N12" s="54"/>
      <c r="O12" s="99"/>
      <c r="P12" s="100"/>
      <c r="Q12" s="101"/>
      <c r="R12" s="102"/>
      <c r="S12" s="103"/>
      <c r="T12" s="104"/>
      <c r="U12" s="303">
        <f t="shared" si="1"/>
        <v>0</v>
      </c>
      <c r="V12" s="303">
        <f t="shared" si="2"/>
        <v>0</v>
      </c>
      <c r="W12" s="306">
        <f t="shared" si="4"/>
        <v>0</v>
      </c>
      <c r="X12" s="223">
        <f t="shared" si="3"/>
        <v>0</v>
      </c>
    </row>
    <row r="13" ht="86.25" customHeight="1">
      <c r="A13" s="2" t="s">
        <v>183</v>
      </c>
      <c r="B13" s="120" t="s">
        <v>192</v>
      </c>
      <c r="C13" s="307"/>
      <c r="D13" s="45">
        <v>2.0</v>
      </c>
      <c r="E13" s="45" t="s">
        <v>193</v>
      </c>
      <c r="F13" s="264">
        <v>105.0</v>
      </c>
      <c r="G13" s="91"/>
      <c r="H13" s="92"/>
      <c r="I13" s="93"/>
      <c r="J13" s="94"/>
      <c r="K13" s="95"/>
      <c r="L13" s="96"/>
      <c r="M13" s="97"/>
      <c r="N13" s="54"/>
      <c r="O13" s="99"/>
      <c r="P13" s="100"/>
      <c r="Q13" s="101"/>
      <c r="R13" s="102"/>
      <c r="S13" s="103"/>
      <c r="T13" s="104"/>
      <c r="U13" s="303">
        <f t="shared" si="1"/>
        <v>0</v>
      </c>
      <c r="V13" s="303">
        <f t="shared" si="2"/>
        <v>0</v>
      </c>
      <c r="W13" s="306">
        <f>U13* 1.06</f>
        <v>0</v>
      </c>
      <c r="X13" s="223">
        <f t="shared" si="3"/>
        <v>0</v>
      </c>
    </row>
    <row r="14" ht="86.25" customHeight="1">
      <c r="A14" s="2" t="s">
        <v>183</v>
      </c>
      <c r="B14" s="120" t="s">
        <v>194</v>
      </c>
      <c r="C14" s="307"/>
      <c r="D14" s="45">
        <v>2.0</v>
      </c>
      <c r="E14" s="45" t="s">
        <v>195</v>
      </c>
      <c r="F14" s="264">
        <v>124.0</v>
      </c>
      <c r="G14" s="91"/>
      <c r="H14" s="92"/>
      <c r="I14" s="93"/>
      <c r="J14" s="94"/>
      <c r="K14" s="95"/>
      <c r="L14" s="96"/>
      <c r="M14" s="97"/>
      <c r="N14" s="54"/>
      <c r="O14" s="99"/>
      <c r="P14" s="100"/>
      <c r="Q14" s="101"/>
      <c r="R14" s="102"/>
      <c r="S14" s="308"/>
      <c r="T14" s="104"/>
      <c r="U14" s="303">
        <f t="shared" si="1"/>
        <v>0</v>
      </c>
      <c r="V14" s="303">
        <f t="shared" si="2"/>
        <v>0</v>
      </c>
      <c r="W14" s="306">
        <f>U14* 1.34</f>
        <v>0</v>
      </c>
      <c r="X14" s="223">
        <f t="shared" si="3"/>
        <v>0</v>
      </c>
    </row>
    <row r="15" ht="86.25" customHeight="1">
      <c r="A15" s="2" t="s">
        <v>183</v>
      </c>
      <c r="B15" s="120" t="s">
        <v>196</v>
      </c>
      <c r="C15" s="305"/>
      <c r="D15" s="45">
        <v>2.0</v>
      </c>
      <c r="E15" s="45" t="s">
        <v>197</v>
      </c>
      <c r="F15" s="264">
        <v>126.0</v>
      </c>
      <c r="G15" s="91"/>
      <c r="H15" s="92"/>
      <c r="I15" s="93"/>
      <c r="J15" s="94"/>
      <c r="K15" s="95"/>
      <c r="L15" s="96"/>
      <c r="M15" s="97"/>
      <c r="N15" s="54"/>
      <c r="O15" s="99"/>
      <c r="P15" s="100"/>
      <c r="Q15" s="101"/>
      <c r="R15" s="102"/>
      <c r="S15" s="308"/>
      <c r="T15" s="104"/>
      <c r="U15" s="303">
        <f t="shared" si="1"/>
        <v>0</v>
      </c>
      <c r="V15" s="303">
        <f t="shared" si="2"/>
        <v>0</v>
      </c>
      <c r="W15" s="306">
        <f>U15* 1.37</f>
        <v>0</v>
      </c>
      <c r="X15" s="223">
        <f t="shared" si="3"/>
        <v>0</v>
      </c>
    </row>
    <row r="16" ht="86.25" customHeight="1">
      <c r="A16" s="2" t="s">
        <v>183</v>
      </c>
      <c r="B16" s="120" t="s">
        <v>198</v>
      </c>
      <c r="C16" s="305"/>
      <c r="D16" s="45">
        <v>2.0</v>
      </c>
      <c r="E16" s="45" t="s">
        <v>199</v>
      </c>
      <c r="F16" s="264">
        <v>123.0</v>
      </c>
      <c r="G16" s="91"/>
      <c r="H16" s="92"/>
      <c r="I16" s="93"/>
      <c r="J16" s="94"/>
      <c r="K16" s="95"/>
      <c r="L16" s="96"/>
      <c r="M16" s="97"/>
      <c r="N16" s="54"/>
      <c r="O16" s="99"/>
      <c r="P16" s="100"/>
      <c r="Q16" s="101"/>
      <c r="R16" s="102"/>
      <c r="S16" s="308"/>
      <c r="T16" s="104"/>
      <c r="U16" s="303">
        <f t="shared" si="1"/>
        <v>0</v>
      </c>
      <c r="V16" s="303">
        <f t="shared" si="2"/>
        <v>0</v>
      </c>
      <c r="W16" s="306">
        <f>U16* 1.32</f>
        <v>0</v>
      </c>
      <c r="X16" s="223">
        <f t="shared" si="3"/>
        <v>0</v>
      </c>
    </row>
    <row r="17" ht="86.25" customHeight="1">
      <c r="A17" s="2" t="s">
        <v>200</v>
      </c>
      <c r="B17" s="120" t="s">
        <v>201</v>
      </c>
      <c r="C17" s="307"/>
      <c r="D17" s="45">
        <v>2.0</v>
      </c>
      <c r="E17" s="45" t="s">
        <v>202</v>
      </c>
      <c r="F17" s="264">
        <v>147.0</v>
      </c>
      <c r="G17" s="91"/>
      <c r="H17" s="92"/>
      <c r="I17" s="93"/>
      <c r="J17" s="94"/>
      <c r="K17" s="95"/>
      <c r="L17" s="96"/>
      <c r="M17" s="97"/>
      <c r="N17" s="54"/>
      <c r="O17" s="99"/>
      <c r="P17" s="100"/>
      <c r="Q17" s="101"/>
      <c r="R17" s="102"/>
      <c r="S17" s="308"/>
      <c r="T17" s="104"/>
      <c r="U17" s="303">
        <f t="shared" si="1"/>
        <v>0</v>
      </c>
      <c r="V17" s="303">
        <f t="shared" si="2"/>
        <v>0</v>
      </c>
      <c r="W17" s="306">
        <f>U17* 1.7</f>
        <v>0</v>
      </c>
      <c r="X17" s="223">
        <f t="shared" si="3"/>
        <v>0</v>
      </c>
    </row>
    <row r="18" ht="86.25" customHeight="1">
      <c r="A18" s="2" t="s">
        <v>200</v>
      </c>
      <c r="B18" s="120" t="s">
        <v>203</v>
      </c>
      <c r="C18" s="307"/>
      <c r="D18" s="45">
        <v>2.0</v>
      </c>
      <c r="E18" s="45" t="s">
        <v>204</v>
      </c>
      <c r="F18" s="264">
        <v>159.0</v>
      </c>
      <c r="G18" s="91"/>
      <c r="H18" s="92"/>
      <c r="I18" s="93"/>
      <c r="J18" s="94"/>
      <c r="K18" s="95"/>
      <c r="L18" s="96"/>
      <c r="M18" s="97"/>
      <c r="N18" s="54"/>
      <c r="O18" s="99"/>
      <c r="P18" s="100"/>
      <c r="Q18" s="101"/>
      <c r="R18" s="102"/>
      <c r="S18" s="308"/>
      <c r="T18" s="104"/>
      <c r="U18" s="303">
        <f t="shared" si="1"/>
        <v>0</v>
      </c>
      <c r="V18" s="303">
        <f t="shared" si="2"/>
        <v>0</v>
      </c>
      <c r="W18" s="306">
        <f t="shared" ref="W18:W19" si="5">U18* 1.88</f>
        <v>0</v>
      </c>
      <c r="X18" s="223">
        <f t="shared" si="3"/>
        <v>0</v>
      </c>
    </row>
    <row r="19" ht="86.25" customHeight="1">
      <c r="A19" s="2" t="s">
        <v>200</v>
      </c>
      <c r="B19" s="120" t="s">
        <v>205</v>
      </c>
      <c r="C19" s="307"/>
      <c r="D19" s="45">
        <v>2.0</v>
      </c>
      <c r="E19" s="45" t="s">
        <v>206</v>
      </c>
      <c r="F19" s="264">
        <v>159.0</v>
      </c>
      <c r="G19" s="91"/>
      <c r="H19" s="92"/>
      <c r="I19" s="93"/>
      <c r="J19" s="94"/>
      <c r="K19" s="95"/>
      <c r="L19" s="96"/>
      <c r="M19" s="97"/>
      <c r="N19" s="98"/>
      <c r="O19" s="99"/>
      <c r="P19" s="100"/>
      <c r="Q19" s="101"/>
      <c r="R19" s="102"/>
      <c r="S19" s="308"/>
      <c r="T19" s="104"/>
      <c r="U19" s="303">
        <f t="shared" si="1"/>
        <v>0</v>
      </c>
      <c r="V19" s="303">
        <f t="shared" si="2"/>
        <v>0</v>
      </c>
      <c r="W19" s="306">
        <f t="shared" si="5"/>
        <v>0</v>
      </c>
      <c r="X19" s="223">
        <f t="shared" si="3"/>
        <v>0</v>
      </c>
    </row>
    <row r="20" ht="86.25" customHeight="1">
      <c r="A20" s="2" t="s">
        <v>200</v>
      </c>
      <c r="B20" s="120" t="s">
        <v>207</v>
      </c>
      <c r="C20" s="307"/>
      <c r="D20" s="45">
        <v>2.0</v>
      </c>
      <c r="E20" s="45" t="s">
        <v>208</v>
      </c>
      <c r="F20" s="264">
        <v>154.0</v>
      </c>
      <c r="G20" s="91"/>
      <c r="H20" s="92"/>
      <c r="I20" s="93"/>
      <c r="J20" s="94"/>
      <c r="K20" s="95"/>
      <c r="L20" s="96"/>
      <c r="M20" s="97"/>
      <c r="N20" s="98"/>
      <c r="O20" s="99"/>
      <c r="P20" s="100"/>
      <c r="Q20" s="101"/>
      <c r="R20" s="102"/>
      <c r="S20" s="308"/>
      <c r="T20" s="104"/>
      <c r="U20" s="303">
        <f t="shared" si="1"/>
        <v>0</v>
      </c>
      <c r="V20" s="303">
        <f t="shared" si="2"/>
        <v>0</v>
      </c>
      <c r="W20" s="306">
        <f>U20* 1.8</f>
        <v>0</v>
      </c>
      <c r="X20" s="223">
        <f t="shared" si="3"/>
        <v>0</v>
      </c>
    </row>
    <row r="21" ht="86.25" customHeight="1">
      <c r="A21" s="2" t="s">
        <v>200</v>
      </c>
      <c r="B21" s="120" t="s">
        <v>209</v>
      </c>
      <c r="C21" s="307"/>
      <c r="D21" s="45">
        <v>2.0</v>
      </c>
      <c r="E21" s="45" t="s">
        <v>210</v>
      </c>
      <c r="F21" s="264">
        <v>131.0</v>
      </c>
      <c r="G21" s="91"/>
      <c r="H21" s="92"/>
      <c r="I21" s="93"/>
      <c r="J21" s="94"/>
      <c r="K21" s="95"/>
      <c r="L21" s="96"/>
      <c r="M21" s="97"/>
      <c r="N21" s="98"/>
      <c r="O21" s="99"/>
      <c r="P21" s="100"/>
      <c r="Q21" s="101"/>
      <c r="R21" s="102"/>
      <c r="S21" s="308"/>
      <c r="T21" s="104"/>
      <c r="U21" s="303">
        <f t="shared" si="1"/>
        <v>0</v>
      </c>
      <c r="V21" s="303">
        <f t="shared" si="2"/>
        <v>0</v>
      </c>
      <c r="W21" s="306">
        <f>U21* 1.47</f>
        <v>0</v>
      </c>
      <c r="X21" s="223">
        <f t="shared" si="3"/>
        <v>0</v>
      </c>
    </row>
    <row r="22" ht="86.25" customHeight="1">
      <c r="A22" s="2"/>
      <c r="B22" s="309"/>
      <c r="C22" s="21"/>
      <c r="D22" s="310">
        <v>1.0</v>
      </c>
      <c r="E22" s="310" t="s">
        <v>211</v>
      </c>
      <c r="F22" s="311"/>
      <c r="G22" s="91"/>
      <c r="H22" s="92"/>
      <c r="I22" s="93"/>
      <c r="J22" s="94"/>
      <c r="K22" s="95"/>
      <c r="L22" s="96"/>
      <c r="M22" s="97"/>
      <c r="N22" s="98"/>
      <c r="O22" s="99"/>
      <c r="P22" s="100"/>
      <c r="Q22" s="101"/>
      <c r="R22" s="102"/>
      <c r="S22" s="308"/>
      <c r="T22" s="104"/>
      <c r="U22" s="303">
        <f t="shared" si="1"/>
        <v>0</v>
      </c>
      <c r="V22" s="303">
        <f t="shared" si="2"/>
        <v>0</v>
      </c>
      <c r="W22" s="303"/>
      <c r="X22" s="223">
        <f t="shared" si="3"/>
        <v>0</v>
      </c>
    </row>
    <row r="23" ht="86.25" customHeight="1">
      <c r="A23" s="2"/>
      <c r="B23" s="309"/>
      <c r="C23" s="21"/>
      <c r="D23" s="310">
        <v>1.0</v>
      </c>
      <c r="E23" s="310" t="s">
        <v>212</v>
      </c>
      <c r="F23" s="311"/>
      <c r="G23" s="91"/>
      <c r="H23" s="92"/>
      <c r="I23" s="93"/>
      <c r="J23" s="94"/>
      <c r="K23" s="95"/>
      <c r="L23" s="96"/>
      <c r="M23" s="97"/>
      <c r="N23" s="98"/>
      <c r="O23" s="99"/>
      <c r="P23" s="100"/>
      <c r="Q23" s="101"/>
      <c r="R23" s="102"/>
      <c r="S23" s="308"/>
      <c r="T23" s="104"/>
      <c r="U23" s="303">
        <f t="shared" si="1"/>
        <v>0</v>
      </c>
      <c r="V23" s="303">
        <f t="shared" si="2"/>
        <v>0</v>
      </c>
      <c r="W23" s="303"/>
      <c r="X23" s="223">
        <f t="shared" si="3"/>
        <v>0</v>
      </c>
    </row>
    <row r="24" ht="86.25" customHeight="1">
      <c r="A24" s="2"/>
      <c r="B24" s="309"/>
      <c r="C24" s="21"/>
      <c r="D24" s="310">
        <v>1.0</v>
      </c>
      <c r="E24" s="310" t="s">
        <v>213</v>
      </c>
      <c r="F24" s="311"/>
      <c r="G24" s="91"/>
      <c r="H24" s="92"/>
      <c r="I24" s="93"/>
      <c r="J24" s="94"/>
      <c r="K24" s="95"/>
      <c r="L24" s="96"/>
      <c r="M24" s="97"/>
      <c r="N24" s="98"/>
      <c r="O24" s="99"/>
      <c r="P24" s="100"/>
      <c r="Q24" s="101"/>
      <c r="R24" s="102"/>
      <c r="S24" s="308"/>
      <c r="T24" s="104"/>
      <c r="U24" s="303">
        <f t="shared" si="1"/>
        <v>0</v>
      </c>
      <c r="V24" s="303">
        <f t="shared" si="2"/>
        <v>0</v>
      </c>
      <c r="W24" s="303"/>
      <c r="X24" s="223">
        <f t="shared" si="3"/>
        <v>0</v>
      </c>
    </row>
    <row r="25" ht="86.25" customHeight="1">
      <c r="A25" s="2"/>
      <c r="B25" s="309"/>
      <c r="C25" s="21"/>
      <c r="D25" s="310">
        <v>1.0</v>
      </c>
      <c r="E25" s="310" t="s">
        <v>214</v>
      </c>
      <c r="F25" s="311"/>
      <c r="G25" s="91"/>
      <c r="H25" s="92"/>
      <c r="I25" s="93"/>
      <c r="J25" s="94"/>
      <c r="K25" s="95"/>
      <c r="L25" s="96"/>
      <c r="M25" s="97"/>
      <c r="N25" s="98"/>
      <c r="O25" s="99"/>
      <c r="P25" s="100"/>
      <c r="Q25" s="101"/>
      <c r="R25" s="102"/>
      <c r="S25" s="308"/>
      <c r="T25" s="104"/>
      <c r="U25" s="303">
        <f t="shared" si="1"/>
        <v>0</v>
      </c>
      <c r="V25" s="303">
        <f t="shared" si="2"/>
        <v>0</v>
      </c>
      <c r="W25" s="303"/>
      <c r="X25" s="223">
        <f t="shared" si="3"/>
        <v>0</v>
      </c>
    </row>
    <row r="26" ht="86.25" customHeight="1">
      <c r="A26" s="2"/>
      <c r="B26" s="309"/>
      <c r="C26" s="21"/>
      <c r="D26" s="310">
        <v>1.0</v>
      </c>
      <c r="E26" s="310" t="s">
        <v>215</v>
      </c>
      <c r="F26" s="311"/>
      <c r="G26" s="91"/>
      <c r="H26" s="92"/>
      <c r="I26" s="93"/>
      <c r="J26" s="94"/>
      <c r="K26" s="95"/>
      <c r="L26" s="96"/>
      <c r="M26" s="97"/>
      <c r="N26" s="98"/>
      <c r="O26" s="99"/>
      <c r="P26" s="100"/>
      <c r="Q26" s="101"/>
      <c r="R26" s="102"/>
      <c r="S26" s="308"/>
      <c r="T26" s="104"/>
      <c r="U26" s="303">
        <f t="shared" si="1"/>
        <v>0</v>
      </c>
      <c r="V26" s="303">
        <f t="shared" si="2"/>
        <v>0</v>
      </c>
      <c r="W26" s="303"/>
      <c r="X26" s="223">
        <f t="shared" si="3"/>
        <v>0</v>
      </c>
    </row>
    <row r="27" ht="86.25" customHeight="1">
      <c r="A27" s="2"/>
      <c r="B27" s="309"/>
      <c r="C27" s="21"/>
      <c r="D27" s="312">
        <v>1.0</v>
      </c>
      <c r="E27" s="312" t="s">
        <v>216</v>
      </c>
      <c r="F27" s="311"/>
      <c r="G27" s="91"/>
      <c r="H27" s="92"/>
      <c r="I27" s="93"/>
      <c r="J27" s="94"/>
      <c r="K27" s="95"/>
      <c r="L27" s="96"/>
      <c r="M27" s="97"/>
      <c r="N27" s="98"/>
      <c r="O27" s="99"/>
      <c r="P27" s="100"/>
      <c r="Q27" s="101"/>
      <c r="R27" s="102"/>
      <c r="S27" s="308"/>
      <c r="T27" s="104"/>
      <c r="U27" s="303">
        <f t="shared" si="1"/>
        <v>0</v>
      </c>
      <c r="V27" s="303">
        <f t="shared" si="2"/>
        <v>0</v>
      </c>
      <c r="W27" s="303"/>
      <c r="X27" s="223">
        <f t="shared" si="3"/>
        <v>0</v>
      </c>
    </row>
    <row r="28" ht="15.75" customHeight="1">
      <c r="G28" s="80">
        <f t="shared" ref="G28:X28" si="6">SUM(G6:G21)</f>
        <v>0</v>
      </c>
      <c r="H28" s="80">
        <f t="shared" si="6"/>
        <v>0</v>
      </c>
      <c r="I28" s="80">
        <f t="shared" si="6"/>
        <v>0</v>
      </c>
      <c r="J28" s="80">
        <f t="shared" si="6"/>
        <v>0</v>
      </c>
      <c r="K28" s="80">
        <f t="shared" si="6"/>
        <v>0</v>
      </c>
      <c r="L28" s="80">
        <f t="shared" si="6"/>
        <v>0</v>
      </c>
      <c r="M28" s="80">
        <f t="shared" si="6"/>
        <v>0</v>
      </c>
      <c r="N28" s="80">
        <f t="shared" si="6"/>
        <v>0</v>
      </c>
      <c r="O28" s="80">
        <f t="shared" si="6"/>
        <v>0</v>
      </c>
      <c r="P28" s="80">
        <f t="shared" si="6"/>
        <v>0</v>
      </c>
      <c r="Q28" s="80">
        <f t="shared" si="6"/>
        <v>0</v>
      </c>
      <c r="R28" s="80">
        <f t="shared" si="6"/>
        <v>0</v>
      </c>
      <c r="S28" s="80">
        <f t="shared" si="6"/>
        <v>0</v>
      </c>
      <c r="T28" s="80">
        <f t="shared" si="6"/>
        <v>0</v>
      </c>
      <c r="U28" s="80">
        <f t="shared" si="6"/>
        <v>0</v>
      </c>
      <c r="V28" s="80">
        <f t="shared" si="6"/>
        <v>0</v>
      </c>
      <c r="W28" s="313">
        <f t="shared" si="6"/>
        <v>0</v>
      </c>
      <c r="X28" s="81">
        <f t="shared" si="6"/>
        <v>0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4.29"/>
    <col customWidth="1" min="3" max="3" width="16.71"/>
    <col customWidth="1" min="4" max="4" width="8.29"/>
    <col customWidth="1" min="5" max="5" width="6.43"/>
    <col customWidth="1" min="6" max="6" width="6.71"/>
    <col customWidth="1" min="7" max="20" width="9.14"/>
    <col customWidth="1" min="21" max="21" width="5.14"/>
    <col customWidth="1" min="22" max="22" width="7.0"/>
    <col customWidth="1" min="23" max="23" width="8.14"/>
    <col customWidth="1" min="24" max="24" width="11.71"/>
  </cols>
  <sheetData>
    <row r="1">
      <c r="A1" s="1"/>
    </row>
    <row r="2">
      <c r="B2" s="3" t="s">
        <v>217</v>
      </c>
      <c r="C2" s="4"/>
      <c r="D2" s="4"/>
      <c r="E2" s="5"/>
      <c r="F2" s="5"/>
      <c r="G2" s="314" t="s">
        <v>27</v>
      </c>
      <c r="H2" s="315" t="s">
        <v>2</v>
      </c>
      <c r="I2" s="316" t="s">
        <v>3</v>
      </c>
      <c r="J2" s="317" t="s">
        <v>4</v>
      </c>
      <c r="K2" s="318" t="s">
        <v>5</v>
      </c>
      <c r="L2" s="319" t="s">
        <v>6</v>
      </c>
      <c r="M2" s="320" t="s">
        <v>7</v>
      </c>
      <c r="N2" s="321" t="s">
        <v>8</v>
      </c>
      <c r="O2" s="322" t="s">
        <v>9</v>
      </c>
      <c r="P2" s="323" t="s">
        <v>10</v>
      </c>
      <c r="Q2" s="324" t="s">
        <v>11</v>
      </c>
      <c r="R2" s="325" t="s">
        <v>12</v>
      </c>
      <c r="S2" s="326" t="s">
        <v>13</v>
      </c>
      <c r="T2" s="327" t="s">
        <v>14</v>
      </c>
      <c r="U2" s="5"/>
      <c r="V2" s="5"/>
      <c r="W2" s="5"/>
      <c r="X2" s="5"/>
    </row>
    <row r="3" ht="15.0" customHeight="1">
      <c r="B3" s="188" t="s">
        <v>15</v>
      </c>
      <c r="C3" s="189" t="s">
        <v>218</v>
      </c>
      <c r="D3" s="190" t="s">
        <v>17</v>
      </c>
      <c r="E3" s="190" t="s">
        <v>18</v>
      </c>
      <c r="F3" s="190" t="s">
        <v>19</v>
      </c>
      <c r="G3" s="328">
        <v>2.0</v>
      </c>
      <c r="H3" s="329">
        <v>5.0</v>
      </c>
      <c r="I3" s="330">
        <v>7.0</v>
      </c>
      <c r="J3" s="331">
        <v>10.0</v>
      </c>
      <c r="K3" s="332">
        <v>11.0</v>
      </c>
      <c r="L3" s="333">
        <v>12.0</v>
      </c>
      <c r="M3" s="334">
        <v>13.0</v>
      </c>
      <c r="N3" s="335">
        <v>16.0</v>
      </c>
      <c r="O3" s="336">
        <v>27.0</v>
      </c>
      <c r="P3" s="337">
        <v>69.0</v>
      </c>
      <c r="Q3" s="338">
        <v>76.0</v>
      </c>
      <c r="R3" s="339">
        <v>77.0</v>
      </c>
      <c r="S3" s="108">
        <v>79.0</v>
      </c>
      <c r="T3" s="340">
        <v>81.0</v>
      </c>
      <c r="U3" s="122" t="s">
        <v>20</v>
      </c>
      <c r="V3" s="122" t="s">
        <v>21</v>
      </c>
      <c r="W3" s="122" t="s">
        <v>22</v>
      </c>
      <c r="X3" s="122" t="s">
        <v>91</v>
      </c>
    </row>
    <row r="4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ht="99.75" customHeight="1">
      <c r="B5" s="341" t="s">
        <v>219</v>
      </c>
      <c r="C5" s="130"/>
      <c r="D5" s="131">
        <v>10.0</v>
      </c>
      <c r="E5" s="131" t="s">
        <v>220</v>
      </c>
      <c r="F5" s="342">
        <v>89.0</v>
      </c>
      <c r="G5" s="343"/>
      <c r="H5" s="344"/>
      <c r="I5" s="345"/>
      <c r="J5" s="346"/>
      <c r="K5" s="347"/>
      <c r="L5" s="348"/>
      <c r="M5" s="349"/>
      <c r="N5" s="350"/>
      <c r="O5" s="351"/>
      <c r="P5" s="352"/>
      <c r="Q5" s="353"/>
      <c r="R5" s="354"/>
      <c r="S5" s="355"/>
      <c r="T5" s="356"/>
      <c r="U5" s="357">
        <f t="shared" ref="U5:U34" si="1">SUM(G5:T5)</f>
        <v>0</v>
      </c>
      <c r="V5" s="357">
        <f t="shared" ref="V5:V34" si="2">U5*D5</f>
        <v>0</v>
      </c>
      <c r="W5" s="358">
        <f>U5*1.12</f>
        <v>0</v>
      </c>
      <c r="X5" s="359">
        <f>U5*F5</f>
        <v>0</v>
      </c>
    </row>
    <row r="6" ht="99.75" customHeight="1">
      <c r="B6" s="260" t="s">
        <v>221</v>
      </c>
      <c r="C6" s="240"/>
      <c r="D6" s="241">
        <v>10.0</v>
      </c>
      <c r="E6" s="241" t="s">
        <v>222</v>
      </c>
      <c r="F6" s="342">
        <v>106.0</v>
      </c>
      <c r="G6" s="243"/>
      <c r="H6" s="244"/>
      <c r="I6" s="245"/>
      <c r="J6" s="246"/>
      <c r="K6" s="247"/>
      <c r="L6" s="248"/>
      <c r="M6" s="249"/>
      <c r="N6" s="250"/>
      <c r="O6" s="251"/>
      <c r="P6" s="252"/>
      <c r="Q6" s="253"/>
      <c r="R6" s="254"/>
      <c r="S6" s="255"/>
      <c r="T6" s="256"/>
      <c r="U6" s="357">
        <f t="shared" si="1"/>
        <v>0</v>
      </c>
      <c r="V6" s="357">
        <f t="shared" si="2"/>
        <v>0</v>
      </c>
      <c r="W6" s="360">
        <f>U6*1.49</f>
        <v>0</v>
      </c>
      <c r="X6" s="258">
        <f>F6*U6</f>
        <v>0</v>
      </c>
    </row>
    <row r="7" ht="99.75" customHeight="1">
      <c r="B7" s="44" t="s">
        <v>223</v>
      </c>
      <c r="C7" s="148"/>
      <c r="D7" s="45">
        <v>10.0</v>
      </c>
      <c r="E7" s="45" t="s">
        <v>224</v>
      </c>
      <c r="F7" s="342">
        <v>93.0</v>
      </c>
      <c r="G7" s="208"/>
      <c r="H7" s="209"/>
      <c r="I7" s="236"/>
      <c r="J7" s="224"/>
      <c r="K7" s="237"/>
      <c r="L7" s="213"/>
      <c r="M7" s="214"/>
      <c r="N7" s="215"/>
      <c r="O7" s="216"/>
      <c r="P7" s="217"/>
      <c r="Q7" s="218"/>
      <c r="R7" s="219"/>
      <c r="S7" s="220"/>
      <c r="T7" s="221"/>
      <c r="U7" s="357">
        <f t="shared" si="1"/>
        <v>0</v>
      </c>
      <c r="V7" s="357">
        <f t="shared" si="2"/>
        <v>0</v>
      </c>
      <c r="W7" s="361">
        <f>U7*1.22</f>
        <v>0</v>
      </c>
      <c r="X7" s="362">
        <f>U7*F7</f>
        <v>0</v>
      </c>
    </row>
    <row r="8" ht="99.75" customHeight="1">
      <c r="B8" s="261" t="s">
        <v>135</v>
      </c>
      <c r="C8" s="151"/>
      <c r="D8" s="117">
        <v>10.0</v>
      </c>
      <c r="E8" s="117" t="s">
        <v>225</v>
      </c>
      <c r="F8" s="342">
        <v>82.0</v>
      </c>
      <c r="G8" s="208"/>
      <c r="H8" s="209"/>
      <c r="I8" s="236"/>
      <c r="J8" s="224"/>
      <c r="K8" s="237"/>
      <c r="L8" s="213"/>
      <c r="M8" s="214"/>
      <c r="N8" s="215"/>
      <c r="O8" s="216"/>
      <c r="P8" s="217"/>
      <c r="Q8" s="218"/>
      <c r="R8" s="219"/>
      <c r="S8" s="220"/>
      <c r="T8" s="221"/>
      <c r="U8" s="357">
        <f t="shared" si="1"/>
        <v>0</v>
      </c>
      <c r="V8" s="357">
        <f t="shared" si="2"/>
        <v>0</v>
      </c>
      <c r="W8" s="363">
        <f>U8*1</f>
        <v>0</v>
      </c>
      <c r="X8" s="262">
        <f>F8*U8</f>
        <v>0</v>
      </c>
    </row>
    <row r="9" ht="99.75" customHeight="1">
      <c r="B9" s="44" t="s">
        <v>226</v>
      </c>
      <c r="C9" s="148"/>
      <c r="D9" s="45">
        <v>10.0</v>
      </c>
      <c r="E9" s="45" t="s">
        <v>227</v>
      </c>
      <c r="F9" s="342">
        <v>179.0</v>
      </c>
      <c r="G9" s="208"/>
      <c r="H9" s="209"/>
      <c r="I9" s="236"/>
      <c r="J9" s="224"/>
      <c r="K9" s="237"/>
      <c r="L9" s="213"/>
      <c r="M9" s="214"/>
      <c r="N9" s="215"/>
      <c r="O9" s="216"/>
      <c r="P9" s="217"/>
      <c r="Q9" s="218"/>
      <c r="R9" s="219"/>
      <c r="S9" s="220"/>
      <c r="T9" s="221"/>
      <c r="U9" s="357">
        <f t="shared" si="1"/>
        <v>0</v>
      </c>
      <c r="V9" s="357">
        <f t="shared" si="2"/>
        <v>0</v>
      </c>
      <c r="W9" s="361">
        <f>U9*3.1</f>
        <v>0</v>
      </c>
      <c r="X9" s="362">
        <f>U9*F9</f>
        <v>0</v>
      </c>
    </row>
    <row r="10" ht="99.75" customHeight="1">
      <c r="B10" s="261" t="s">
        <v>228</v>
      </c>
      <c r="C10" s="151"/>
      <c r="D10" s="117">
        <v>5.0</v>
      </c>
      <c r="E10" s="117" t="s">
        <v>229</v>
      </c>
      <c r="F10" s="342">
        <v>73.0</v>
      </c>
      <c r="G10" s="208"/>
      <c r="H10" s="209"/>
      <c r="I10" s="236"/>
      <c r="J10" s="224"/>
      <c r="K10" s="237"/>
      <c r="L10" s="213"/>
      <c r="M10" s="214"/>
      <c r="N10" s="215"/>
      <c r="O10" s="216"/>
      <c r="P10" s="217"/>
      <c r="Q10" s="218"/>
      <c r="R10" s="219"/>
      <c r="S10" s="220"/>
      <c r="T10" s="221"/>
      <c r="U10" s="357">
        <f t="shared" si="1"/>
        <v>0</v>
      </c>
      <c r="V10" s="357">
        <f t="shared" si="2"/>
        <v>0</v>
      </c>
      <c r="W10" s="363">
        <f>U10*1.13</f>
        <v>0</v>
      </c>
      <c r="X10" s="262">
        <f>F10*U10</f>
        <v>0</v>
      </c>
    </row>
    <row r="11" ht="99.75" customHeight="1">
      <c r="B11" s="261" t="s">
        <v>230</v>
      </c>
      <c r="C11" s="151"/>
      <c r="D11" s="117">
        <v>10.0</v>
      </c>
      <c r="E11" s="117" t="s">
        <v>231</v>
      </c>
      <c r="F11" s="342">
        <v>99.0</v>
      </c>
      <c r="G11" s="208"/>
      <c r="H11" s="209"/>
      <c r="I11" s="236"/>
      <c r="J11" s="224"/>
      <c r="K11" s="237"/>
      <c r="L11" s="213"/>
      <c r="M11" s="214"/>
      <c r="N11" s="215"/>
      <c r="O11" s="216"/>
      <c r="P11" s="217"/>
      <c r="Q11" s="218"/>
      <c r="R11" s="219"/>
      <c r="S11" s="220"/>
      <c r="T11" s="221"/>
      <c r="U11" s="357">
        <f t="shared" si="1"/>
        <v>0</v>
      </c>
      <c r="V11" s="357">
        <f t="shared" si="2"/>
        <v>0</v>
      </c>
      <c r="W11" s="363">
        <f>U11*1.4</f>
        <v>0</v>
      </c>
      <c r="X11" s="262">
        <f t="shared" ref="X11:X12" si="3">U11*F11</f>
        <v>0</v>
      </c>
    </row>
    <row r="12" ht="99.75" customHeight="1">
      <c r="B12" s="44" t="s">
        <v>232</v>
      </c>
      <c r="C12" s="148"/>
      <c r="D12" s="45">
        <v>5.0</v>
      </c>
      <c r="E12" s="45" t="s">
        <v>233</v>
      </c>
      <c r="F12" s="342">
        <v>221.0</v>
      </c>
      <c r="G12" s="208"/>
      <c r="H12" s="209"/>
      <c r="I12" s="236"/>
      <c r="J12" s="224"/>
      <c r="K12" s="237"/>
      <c r="L12" s="213"/>
      <c r="M12" s="214"/>
      <c r="N12" s="215"/>
      <c r="O12" s="216"/>
      <c r="P12" s="217"/>
      <c r="Q12" s="218"/>
      <c r="R12" s="219"/>
      <c r="S12" s="220"/>
      <c r="T12" s="221"/>
      <c r="U12" s="357">
        <f t="shared" si="1"/>
        <v>0</v>
      </c>
      <c r="V12" s="357">
        <f t="shared" si="2"/>
        <v>0</v>
      </c>
      <c r="W12" s="361">
        <f>U12*4.25</f>
        <v>0</v>
      </c>
      <c r="X12" s="362">
        <f t="shared" si="3"/>
        <v>0</v>
      </c>
    </row>
    <row r="13" ht="99.75" customHeight="1">
      <c r="B13" s="261" t="s">
        <v>234</v>
      </c>
      <c r="C13" s="151"/>
      <c r="D13" s="117">
        <v>5.0</v>
      </c>
      <c r="E13" s="117" t="s">
        <v>235</v>
      </c>
      <c r="F13" s="342">
        <v>164.0</v>
      </c>
      <c r="G13" s="208"/>
      <c r="H13" s="209"/>
      <c r="I13" s="236"/>
      <c r="J13" s="224"/>
      <c r="K13" s="237"/>
      <c r="L13" s="213"/>
      <c r="M13" s="214"/>
      <c r="N13" s="215"/>
      <c r="O13" s="216"/>
      <c r="P13" s="217"/>
      <c r="Q13" s="218"/>
      <c r="R13" s="219"/>
      <c r="S13" s="220"/>
      <c r="T13" s="221"/>
      <c r="U13" s="357">
        <f t="shared" si="1"/>
        <v>0</v>
      </c>
      <c r="V13" s="357">
        <f t="shared" si="2"/>
        <v>0</v>
      </c>
      <c r="W13" s="363">
        <f>U13*1.77</f>
        <v>0</v>
      </c>
      <c r="X13" s="262">
        <f t="shared" ref="X13:X14" si="4">F13*U13</f>
        <v>0</v>
      </c>
    </row>
    <row r="14" ht="99.75" customHeight="1">
      <c r="B14" s="261" t="s">
        <v>236</v>
      </c>
      <c r="C14" s="151"/>
      <c r="D14" s="117">
        <v>5.0</v>
      </c>
      <c r="E14" s="117" t="s">
        <v>237</v>
      </c>
      <c r="F14" s="342">
        <v>206.0</v>
      </c>
      <c r="G14" s="208"/>
      <c r="H14" s="209"/>
      <c r="I14" s="236"/>
      <c r="J14" s="224"/>
      <c r="K14" s="237"/>
      <c r="L14" s="213"/>
      <c r="M14" s="214"/>
      <c r="N14" s="215"/>
      <c r="O14" s="216"/>
      <c r="P14" s="217"/>
      <c r="Q14" s="218"/>
      <c r="R14" s="219"/>
      <c r="S14" s="220"/>
      <c r="T14" s="221"/>
      <c r="U14" s="357">
        <f t="shared" si="1"/>
        <v>0</v>
      </c>
      <c r="V14" s="357">
        <f t="shared" si="2"/>
        <v>0</v>
      </c>
      <c r="W14" s="363">
        <f>U14*2.53</f>
        <v>0</v>
      </c>
      <c r="X14" s="262">
        <f t="shared" si="4"/>
        <v>0</v>
      </c>
    </row>
    <row r="15" ht="99.75" customHeight="1">
      <c r="B15" s="261" t="s">
        <v>238</v>
      </c>
      <c r="C15" s="151"/>
      <c r="D15" s="117">
        <v>3.0</v>
      </c>
      <c r="E15" s="117" t="s">
        <v>239</v>
      </c>
      <c r="F15" s="342">
        <v>105.0</v>
      </c>
      <c r="G15" s="208"/>
      <c r="H15" s="209"/>
      <c r="I15" s="236"/>
      <c r="J15" s="224"/>
      <c r="K15" s="237"/>
      <c r="L15" s="213"/>
      <c r="M15" s="214"/>
      <c r="N15" s="215"/>
      <c r="O15" s="216"/>
      <c r="P15" s="217"/>
      <c r="Q15" s="218"/>
      <c r="R15" s="219"/>
      <c r="S15" s="220"/>
      <c r="T15" s="221"/>
      <c r="U15" s="357">
        <f t="shared" si="1"/>
        <v>0</v>
      </c>
      <c r="V15" s="357">
        <f t="shared" si="2"/>
        <v>0</v>
      </c>
      <c r="W15" s="363">
        <f>U15*1.2</f>
        <v>0</v>
      </c>
      <c r="X15" s="262">
        <f t="shared" ref="X15:X16" si="5">U15*F15</f>
        <v>0</v>
      </c>
    </row>
    <row r="16" ht="99.75" customHeight="1">
      <c r="B16" s="44" t="s">
        <v>240</v>
      </c>
      <c r="C16" s="148"/>
      <c r="D16" s="45">
        <v>10.0</v>
      </c>
      <c r="E16" s="45" t="s">
        <v>241</v>
      </c>
      <c r="F16" s="342">
        <v>124.0</v>
      </c>
      <c r="G16" s="208"/>
      <c r="H16" s="209"/>
      <c r="I16" s="236"/>
      <c r="J16" s="224"/>
      <c r="K16" s="364"/>
      <c r="L16" s="213"/>
      <c r="M16" s="214"/>
      <c r="N16" s="215"/>
      <c r="O16" s="216"/>
      <c r="P16" s="217"/>
      <c r="Q16" s="218"/>
      <c r="R16" s="219"/>
      <c r="S16" s="220"/>
      <c r="T16" s="221"/>
      <c r="U16" s="357">
        <f t="shared" si="1"/>
        <v>0</v>
      </c>
      <c r="V16" s="357">
        <f t="shared" si="2"/>
        <v>0</v>
      </c>
      <c r="W16" s="361">
        <f>U16*1.86</f>
        <v>0</v>
      </c>
      <c r="X16" s="362">
        <f t="shared" si="5"/>
        <v>0</v>
      </c>
    </row>
    <row r="17" ht="99.75" customHeight="1">
      <c r="B17" s="261" t="s">
        <v>242</v>
      </c>
      <c r="C17" s="151"/>
      <c r="D17" s="117">
        <v>10.0</v>
      </c>
      <c r="E17" s="117" t="s">
        <v>243</v>
      </c>
      <c r="F17" s="342">
        <v>139.0</v>
      </c>
      <c r="G17" s="208"/>
      <c r="H17" s="209"/>
      <c r="I17" s="236"/>
      <c r="J17" s="224"/>
      <c r="K17" s="364"/>
      <c r="L17" s="213"/>
      <c r="M17" s="214"/>
      <c r="N17" s="215"/>
      <c r="O17" s="216"/>
      <c r="P17" s="217"/>
      <c r="Q17" s="218"/>
      <c r="R17" s="219"/>
      <c r="S17" s="220"/>
      <c r="T17" s="221"/>
      <c r="U17" s="357">
        <f t="shared" si="1"/>
        <v>0</v>
      </c>
      <c r="V17" s="357">
        <f t="shared" si="2"/>
        <v>0</v>
      </c>
      <c r="W17" s="363">
        <f>U17*2.2</f>
        <v>0</v>
      </c>
      <c r="X17" s="262">
        <f t="shared" ref="X17:X20" si="6">F17*U17</f>
        <v>0</v>
      </c>
    </row>
    <row r="18" ht="99.75" customHeight="1">
      <c r="B18" s="261" t="s">
        <v>244</v>
      </c>
      <c r="C18" s="151"/>
      <c r="D18" s="117">
        <v>10.0</v>
      </c>
      <c r="E18" s="117" t="s">
        <v>245</v>
      </c>
      <c r="F18" s="342">
        <v>176.0</v>
      </c>
      <c r="G18" s="208"/>
      <c r="H18" s="209"/>
      <c r="I18" s="236"/>
      <c r="J18" s="224"/>
      <c r="K18" s="364"/>
      <c r="L18" s="213"/>
      <c r="M18" s="214"/>
      <c r="N18" s="215"/>
      <c r="O18" s="216"/>
      <c r="P18" s="217"/>
      <c r="Q18" s="218"/>
      <c r="R18" s="219"/>
      <c r="S18" s="220"/>
      <c r="T18" s="221"/>
      <c r="U18" s="357">
        <f t="shared" si="1"/>
        <v>0</v>
      </c>
      <c r="V18" s="357">
        <f t="shared" si="2"/>
        <v>0</v>
      </c>
      <c r="W18" s="363">
        <f>U18*3</f>
        <v>0</v>
      </c>
      <c r="X18" s="262">
        <f t="shared" si="6"/>
        <v>0</v>
      </c>
    </row>
    <row r="19" ht="99.75" customHeight="1">
      <c r="B19" s="261" t="s">
        <v>246</v>
      </c>
      <c r="C19" s="151"/>
      <c r="D19" s="117">
        <v>10.0</v>
      </c>
      <c r="E19" s="117" t="s">
        <v>247</v>
      </c>
      <c r="F19" s="342">
        <v>178.0</v>
      </c>
      <c r="G19" s="208"/>
      <c r="H19" s="209"/>
      <c r="I19" s="236"/>
      <c r="J19" s="224"/>
      <c r="K19" s="364"/>
      <c r="L19" s="213"/>
      <c r="M19" s="214"/>
      <c r="N19" s="215"/>
      <c r="O19" s="216"/>
      <c r="P19" s="217"/>
      <c r="Q19" s="218"/>
      <c r="R19" s="219"/>
      <c r="S19" s="220"/>
      <c r="T19" s="221"/>
      <c r="U19" s="357">
        <f t="shared" si="1"/>
        <v>0</v>
      </c>
      <c r="V19" s="357">
        <f t="shared" si="2"/>
        <v>0</v>
      </c>
      <c r="W19" s="363">
        <f>U19*3.1</f>
        <v>0</v>
      </c>
      <c r="X19" s="262">
        <f t="shared" si="6"/>
        <v>0</v>
      </c>
    </row>
    <row r="20" ht="99.75" customHeight="1">
      <c r="B20" s="261" t="s">
        <v>248</v>
      </c>
      <c r="C20" s="151"/>
      <c r="D20" s="117">
        <v>10.0</v>
      </c>
      <c r="E20" s="117" t="s">
        <v>249</v>
      </c>
      <c r="F20" s="342">
        <v>202.0</v>
      </c>
      <c r="G20" s="208"/>
      <c r="H20" s="209"/>
      <c r="I20" s="236"/>
      <c r="J20" s="224"/>
      <c r="K20" s="364"/>
      <c r="L20" s="213"/>
      <c r="M20" s="214"/>
      <c r="N20" s="215"/>
      <c r="O20" s="216"/>
      <c r="P20" s="217"/>
      <c r="Q20" s="218"/>
      <c r="R20" s="219"/>
      <c r="S20" s="220"/>
      <c r="T20" s="221"/>
      <c r="U20" s="357">
        <f t="shared" si="1"/>
        <v>0</v>
      </c>
      <c r="V20" s="357">
        <f t="shared" si="2"/>
        <v>0</v>
      </c>
      <c r="W20" s="363">
        <f>U20*3.53</f>
        <v>0</v>
      </c>
      <c r="X20" s="262">
        <f t="shared" si="6"/>
        <v>0</v>
      </c>
    </row>
    <row r="21" ht="99.75" customHeight="1">
      <c r="B21" s="44" t="s">
        <v>250</v>
      </c>
      <c r="C21" s="148"/>
      <c r="D21" s="45">
        <v>10.0</v>
      </c>
      <c r="E21" s="45" t="s">
        <v>251</v>
      </c>
      <c r="F21" s="342">
        <v>154.0</v>
      </c>
      <c r="G21" s="208"/>
      <c r="H21" s="209"/>
      <c r="I21" s="236"/>
      <c r="J21" s="224"/>
      <c r="K21" s="364"/>
      <c r="L21" s="213"/>
      <c r="M21" s="214"/>
      <c r="N21" s="215"/>
      <c r="O21" s="216"/>
      <c r="P21" s="217"/>
      <c r="Q21" s="218"/>
      <c r="R21" s="219"/>
      <c r="S21" s="220"/>
      <c r="T21" s="221"/>
      <c r="U21" s="357">
        <f t="shared" si="1"/>
        <v>0</v>
      </c>
      <c r="V21" s="357">
        <f t="shared" si="2"/>
        <v>0</v>
      </c>
      <c r="W21" s="361">
        <f>U21*2.49</f>
        <v>0</v>
      </c>
      <c r="X21" s="362">
        <f t="shared" ref="X21:X34" si="7">U21*F21</f>
        <v>0</v>
      </c>
    </row>
    <row r="22" ht="99.75" customHeight="1">
      <c r="B22" s="44" t="s">
        <v>252</v>
      </c>
      <c r="C22" s="148"/>
      <c r="D22" s="45">
        <v>10.0</v>
      </c>
      <c r="E22" s="45" t="s">
        <v>253</v>
      </c>
      <c r="F22" s="342">
        <v>248.0</v>
      </c>
      <c r="G22" s="208"/>
      <c r="H22" s="209"/>
      <c r="I22" s="236"/>
      <c r="J22" s="224"/>
      <c r="K22" s="364"/>
      <c r="L22" s="213"/>
      <c r="M22" s="214"/>
      <c r="N22" s="215"/>
      <c r="O22" s="216"/>
      <c r="P22" s="217"/>
      <c r="Q22" s="218"/>
      <c r="R22" s="219"/>
      <c r="S22" s="220"/>
      <c r="T22" s="221"/>
      <c r="U22" s="357">
        <f t="shared" si="1"/>
        <v>0</v>
      </c>
      <c r="V22" s="357">
        <f t="shared" si="2"/>
        <v>0</v>
      </c>
      <c r="W22" s="361">
        <f>U22*4.42</f>
        <v>0</v>
      </c>
      <c r="X22" s="362">
        <f t="shared" si="7"/>
        <v>0</v>
      </c>
    </row>
    <row r="23" ht="99.75" customHeight="1">
      <c r="B23" s="44" t="s">
        <v>254</v>
      </c>
      <c r="C23" s="148"/>
      <c r="D23" s="45">
        <v>10.0</v>
      </c>
      <c r="E23" s="45" t="s">
        <v>255</v>
      </c>
      <c r="F23" s="342">
        <v>196.0</v>
      </c>
      <c r="G23" s="208"/>
      <c r="H23" s="209"/>
      <c r="I23" s="236"/>
      <c r="J23" s="224"/>
      <c r="K23" s="364"/>
      <c r="L23" s="213"/>
      <c r="M23" s="214"/>
      <c r="N23" s="215"/>
      <c r="O23" s="216"/>
      <c r="P23" s="217"/>
      <c r="Q23" s="218"/>
      <c r="R23" s="219"/>
      <c r="S23" s="220"/>
      <c r="T23" s="221"/>
      <c r="U23" s="357">
        <f t="shared" si="1"/>
        <v>0</v>
      </c>
      <c r="V23" s="357">
        <f t="shared" si="2"/>
        <v>0</v>
      </c>
      <c r="W23" s="361">
        <f>U23*3.4</f>
        <v>0</v>
      </c>
      <c r="X23" s="362">
        <f t="shared" si="7"/>
        <v>0</v>
      </c>
    </row>
    <row r="24" ht="99.75" customHeight="1">
      <c r="B24" s="261" t="s">
        <v>256</v>
      </c>
      <c r="C24" s="151"/>
      <c r="D24" s="117">
        <v>10.0</v>
      </c>
      <c r="E24" s="117" t="s">
        <v>257</v>
      </c>
      <c r="F24" s="342">
        <v>304.0</v>
      </c>
      <c r="G24" s="365"/>
      <c r="H24" s="209"/>
      <c r="I24" s="236"/>
      <c r="J24" s="224"/>
      <c r="K24" s="364"/>
      <c r="L24" s="213"/>
      <c r="M24" s="214"/>
      <c r="N24" s="215"/>
      <c r="O24" s="216"/>
      <c r="P24" s="217"/>
      <c r="Q24" s="218"/>
      <c r="R24" s="219"/>
      <c r="S24" s="220"/>
      <c r="T24" s="221"/>
      <c r="U24" s="357">
        <f t="shared" si="1"/>
        <v>0</v>
      </c>
      <c r="V24" s="357">
        <f t="shared" si="2"/>
        <v>0</v>
      </c>
      <c r="W24" s="363">
        <f>U24*5.7</f>
        <v>0</v>
      </c>
      <c r="X24" s="262">
        <f t="shared" si="7"/>
        <v>0</v>
      </c>
    </row>
    <row r="25" ht="99.75" customHeight="1">
      <c r="B25" s="261" t="s">
        <v>258</v>
      </c>
      <c r="C25" s="151"/>
      <c r="D25" s="366">
        <v>5.0</v>
      </c>
      <c r="E25" s="117" t="s">
        <v>259</v>
      </c>
      <c r="F25" s="342">
        <v>188.0</v>
      </c>
      <c r="G25" s="208"/>
      <c r="H25" s="209"/>
      <c r="I25" s="236"/>
      <c r="J25" s="224"/>
      <c r="K25" s="237"/>
      <c r="L25" s="213"/>
      <c r="M25" s="214"/>
      <c r="N25" s="215"/>
      <c r="O25" s="216"/>
      <c r="P25" s="217"/>
      <c r="Q25" s="218"/>
      <c r="R25" s="219"/>
      <c r="S25" s="220"/>
      <c r="T25" s="221"/>
      <c r="U25" s="357">
        <f t="shared" si="1"/>
        <v>0</v>
      </c>
      <c r="V25" s="357">
        <f t="shared" si="2"/>
        <v>0</v>
      </c>
      <c r="W25" s="363">
        <f>U25*2.2</f>
        <v>0</v>
      </c>
      <c r="X25" s="262">
        <f t="shared" si="7"/>
        <v>0</v>
      </c>
    </row>
    <row r="26" ht="99.75" customHeight="1">
      <c r="B26" s="261" t="s">
        <v>260</v>
      </c>
      <c r="C26" s="151"/>
      <c r="D26" s="117">
        <v>5.0</v>
      </c>
      <c r="E26" s="117" t="s">
        <v>261</v>
      </c>
      <c r="F26" s="342">
        <v>200.0</v>
      </c>
      <c r="G26" s="208"/>
      <c r="H26" s="209"/>
      <c r="I26" s="236"/>
      <c r="J26" s="224"/>
      <c r="K26" s="237"/>
      <c r="L26" s="213"/>
      <c r="M26" s="214"/>
      <c r="N26" s="215"/>
      <c r="O26" s="216"/>
      <c r="P26" s="217"/>
      <c r="Q26" s="218"/>
      <c r="R26" s="219"/>
      <c r="S26" s="220"/>
      <c r="T26" s="221"/>
      <c r="U26" s="357">
        <f t="shared" si="1"/>
        <v>0</v>
      </c>
      <c r="V26" s="357">
        <f t="shared" si="2"/>
        <v>0</v>
      </c>
      <c r="W26" s="363">
        <f>U26*2.4</f>
        <v>0</v>
      </c>
      <c r="X26" s="262">
        <f t="shared" si="7"/>
        <v>0</v>
      </c>
    </row>
    <row r="27" ht="99.75" customHeight="1">
      <c r="B27" s="261" t="s">
        <v>262</v>
      </c>
      <c r="C27" s="151"/>
      <c r="D27" s="117">
        <v>5.0</v>
      </c>
      <c r="E27" s="117" t="s">
        <v>263</v>
      </c>
      <c r="F27" s="342">
        <v>282.0</v>
      </c>
      <c r="G27" s="208"/>
      <c r="H27" s="209"/>
      <c r="I27" s="236"/>
      <c r="J27" s="224"/>
      <c r="K27" s="237"/>
      <c r="L27" s="213"/>
      <c r="M27" s="214"/>
      <c r="N27" s="215"/>
      <c r="O27" s="216"/>
      <c r="P27" s="217"/>
      <c r="Q27" s="218"/>
      <c r="R27" s="219"/>
      <c r="S27" s="220"/>
      <c r="T27" s="221"/>
      <c r="U27" s="357">
        <f t="shared" si="1"/>
        <v>0</v>
      </c>
      <c r="V27" s="357">
        <f t="shared" si="2"/>
        <v>0</v>
      </c>
      <c r="W27" s="363">
        <f>U27*3.88</f>
        <v>0</v>
      </c>
      <c r="X27" s="262">
        <f t="shared" si="7"/>
        <v>0</v>
      </c>
    </row>
    <row r="28" ht="99.75" customHeight="1">
      <c r="B28" s="261" t="s">
        <v>264</v>
      </c>
      <c r="C28" s="151"/>
      <c r="D28" s="117">
        <v>5.0</v>
      </c>
      <c r="E28" s="117" t="s">
        <v>265</v>
      </c>
      <c r="F28" s="342">
        <v>425.0</v>
      </c>
      <c r="G28" s="208"/>
      <c r="H28" s="209"/>
      <c r="I28" s="236"/>
      <c r="J28" s="224"/>
      <c r="K28" s="237"/>
      <c r="L28" s="213"/>
      <c r="M28" s="214"/>
      <c r="N28" s="215"/>
      <c r="O28" s="216"/>
      <c r="P28" s="217"/>
      <c r="Q28" s="218"/>
      <c r="R28" s="219"/>
      <c r="S28" s="220"/>
      <c r="T28" s="221"/>
      <c r="U28" s="357">
        <f t="shared" si="1"/>
        <v>0</v>
      </c>
      <c r="V28" s="357">
        <f t="shared" si="2"/>
        <v>0</v>
      </c>
      <c r="W28" s="363">
        <f>U28*6.44</f>
        <v>0</v>
      </c>
      <c r="X28" s="262">
        <f t="shared" si="7"/>
        <v>0</v>
      </c>
    </row>
    <row r="29" ht="99.75" customHeight="1">
      <c r="B29" s="150" t="s">
        <v>266</v>
      </c>
      <c r="C29" s="151"/>
      <c r="D29" s="117">
        <v>3.0</v>
      </c>
      <c r="E29" s="117" t="s">
        <v>267</v>
      </c>
      <c r="F29" s="342">
        <v>205.0</v>
      </c>
      <c r="G29" s="208"/>
      <c r="H29" s="209"/>
      <c r="I29" s="236"/>
      <c r="J29" s="224"/>
      <c r="K29" s="237"/>
      <c r="L29" s="213"/>
      <c r="M29" s="214"/>
      <c r="N29" s="215"/>
      <c r="O29" s="216"/>
      <c r="P29" s="217"/>
      <c r="Q29" s="218"/>
      <c r="R29" s="219"/>
      <c r="S29" s="220"/>
      <c r="T29" s="221"/>
      <c r="U29" s="357">
        <f t="shared" si="1"/>
        <v>0</v>
      </c>
      <c r="V29" s="357">
        <f t="shared" si="2"/>
        <v>0</v>
      </c>
      <c r="W29" s="363">
        <f>U29*3</f>
        <v>0</v>
      </c>
      <c r="X29" s="262">
        <f t="shared" si="7"/>
        <v>0</v>
      </c>
    </row>
    <row r="30" ht="99.75" customHeight="1">
      <c r="B30" s="261" t="s">
        <v>268</v>
      </c>
      <c r="C30" s="151"/>
      <c r="D30" s="117">
        <v>3.0</v>
      </c>
      <c r="E30" s="117" t="s">
        <v>269</v>
      </c>
      <c r="F30" s="342">
        <v>217.0</v>
      </c>
      <c r="G30" s="208"/>
      <c r="H30" s="209"/>
      <c r="I30" s="236"/>
      <c r="J30" s="224"/>
      <c r="K30" s="237"/>
      <c r="L30" s="213"/>
      <c r="M30" s="214"/>
      <c r="N30" s="215"/>
      <c r="O30" s="216"/>
      <c r="P30" s="217"/>
      <c r="Q30" s="218"/>
      <c r="R30" s="219"/>
      <c r="S30" s="220"/>
      <c r="T30" s="221"/>
      <c r="U30" s="357">
        <f t="shared" si="1"/>
        <v>0</v>
      </c>
      <c r="V30" s="357">
        <f t="shared" si="2"/>
        <v>0</v>
      </c>
      <c r="W30" s="363">
        <f>U30*3.18</f>
        <v>0</v>
      </c>
      <c r="X30" s="262">
        <f t="shared" si="7"/>
        <v>0</v>
      </c>
    </row>
    <row r="31" ht="99.75" customHeight="1">
      <c r="B31" s="150" t="s">
        <v>270</v>
      </c>
      <c r="C31" s="151"/>
      <c r="D31" s="117">
        <v>3.0</v>
      </c>
      <c r="E31" s="117" t="s">
        <v>271</v>
      </c>
      <c r="F31" s="342">
        <v>187.0</v>
      </c>
      <c r="G31" s="208"/>
      <c r="H31" s="209"/>
      <c r="I31" s="236"/>
      <c r="J31" s="224"/>
      <c r="K31" s="237"/>
      <c r="L31" s="213"/>
      <c r="M31" s="214"/>
      <c r="N31" s="215"/>
      <c r="O31" s="216"/>
      <c r="P31" s="217"/>
      <c r="Q31" s="218"/>
      <c r="R31" s="219"/>
      <c r="S31" s="220"/>
      <c r="T31" s="221"/>
      <c r="U31" s="357">
        <f t="shared" si="1"/>
        <v>0</v>
      </c>
      <c r="V31" s="357">
        <f t="shared" si="2"/>
        <v>0</v>
      </c>
      <c r="W31" s="363">
        <f>U31*2.7</f>
        <v>0</v>
      </c>
      <c r="X31" s="262">
        <f t="shared" si="7"/>
        <v>0</v>
      </c>
    </row>
    <row r="32" ht="99.75" customHeight="1">
      <c r="B32" s="261" t="s">
        <v>272</v>
      </c>
      <c r="C32" s="151"/>
      <c r="D32" s="117">
        <v>2.0</v>
      </c>
      <c r="E32" s="117" t="s">
        <v>273</v>
      </c>
      <c r="F32" s="342">
        <v>382.0</v>
      </c>
      <c r="G32" s="208"/>
      <c r="H32" s="209"/>
      <c r="I32" s="236"/>
      <c r="J32" s="224"/>
      <c r="K32" s="237"/>
      <c r="L32" s="213"/>
      <c r="M32" s="214"/>
      <c r="N32" s="215"/>
      <c r="O32" s="216"/>
      <c r="P32" s="217"/>
      <c r="Q32" s="218"/>
      <c r="R32" s="219"/>
      <c r="S32" s="220"/>
      <c r="T32" s="221"/>
      <c r="U32" s="357">
        <f t="shared" si="1"/>
        <v>0</v>
      </c>
      <c r="V32" s="357">
        <f t="shared" si="2"/>
        <v>0</v>
      </c>
      <c r="W32" s="363">
        <f>U32*6.4</f>
        <v>0</v>
      </c>
      <c r="X32" s="262">
        <f t="shared" si="7"/>
        <v>0</v>
      </c>
    </row>
    <row r="33" ht="99.75" customHeight="1">
      <c r="B33" s="261" t="s">
        <v>274</v>
      </c>
      <c r="C33" s="151"/>
      <c r="D33" s="117">
        <v>1.0</v>
      </c>
      <c r="E33" s="117" t="s">
        <v>275</v>
      </c>
      <c r="F33" s="342">
        <v>147.0</v>
      </c>
      <c r="G33" s="208"/>
      <c r="H33" s="209"/>
      <c r="I33" s="236"/>
      <c r="J33" s="224"/>
      <c r="K33" s="237"/>
      <c r="L33" s="213"/>
      <c r="M33" s="214"/>
      <c r="N33" s="215"/>
      <c r="O33" s="216"/>
      <c r="P33" s="217"/>
      <c r="Q33" s="218"/>
      <c r="R33" s="219"/>
      <c r="S33" s="220"/>
      <c r="T33" s="221"/>
      <c r="U33" s="357">
        <f t="shared" si="1"/>
        <v>0</v>
      </c>
      <c r="V33" s="357">
        <f t="shared" si="2"/>
        <v>0</v>
      </c>
      <c r="W33" s="363">
        <f>U33*2.35</f>
        <v>0</v>
      </c>
      <c r="X33" s="262">
        <f t="shared" si="7"/>
        <v>0</v>
      </c>
    </row>
    <row r="34" ht="99.75" customHeight="1">
      <c r="B34" s="367" t="s">
        <v>276</v>
      </c>
      <c r="C34" s="154"/>
      <c r="D34" s="19">
        <v>1.0</v>
      </c>
      <c r="E34" s="19" t="s">
        <v>277</v>
      </c>
      <c r="F34" s="342">
        <v>196.0</v>
      </c>
      <c r="G34" s="368"/>
      <c r="H34" s="369"/>
      <c r="I34" s="370"/>
      <c r="J34" s="371"/>
      <c r="K34" s="372"/>
      <c r="L34" s="373"/>
      <c r="M34" s="374"/>
      <c r="N34" s="375"/>
      <c r="O34" s="376"/>
      <c r="P34" s="377"/>
      <c r="Q34" s="378"/>
      <c r="R34" s="379"/>
      <c r="S34" s="380"/>
      <c r="T34" s="381"/>
      <c r="U34" s="357">
        <f t="shared" si="1"/>
        <v>0</v>
      </c>
      <c r="V34" s="357">
        <f t="shared" si="2"/>
        <v>0</v>
      </c>
      <c r="W34" s="382">
        <f>U34*3.23</f>
        <v>0</v>
      </c>
      <c r="X34" s="383">
        <f t="shared" si="7"/>
        <v>0</v>
      </c>
    </row>
    <row r="35" ht="15.75" customHeight="1">
      <c r="B35" s="172"/>
      <c r="C35" s="172"/>
      <c r="D35" s="172"/>
      <c r="E35" s="172"/>
      <c r="F35" s="384"/>
      <c r="G35" s="385">
        <f t="shared" ref="G35:X35" si="8">SUM(G5:G34)</f>
        <v>0</v>
      </c>
      <c r="H35" s="385">
        <f t="shared" si="8"/>
        <v>0</v>
      </c>
      <c r="I35" s="385">
        <f t="shared" si="8"/>
        <v>0</v>
      </c>
      <c r="J35" s="385">
        <f t="shared" si="8"/>
        <v>0</v>
      </c>
      <c r="K35" s="385">
        <f t="shared" si="8"/>
        <v>0</v>
      </c>
      <c r="L35" s="385">
        <f t="shared" si="8"/>
        <v>0</v>
      </c>
      <c r="M35" s="385">
        <f t="shared" si="8"/>
        <v>0</v>
      </c>
      <c r="N35" s="385">
        <f t="shared" si="8"/>
        <v>0</v>
      </c>
      <c r="O35" s="385">
        <f t="shared" si="8"/>
        <v>0</v>
      </c>
      <c r="P35" s="385">
        <f t="shared" si="8"/>
        <v>0</v>
      </c>
      <c r="Q35" s="385">
        <f t="shared" si="8"/>
        <v>0</v>
      </c>
      <c r="R35" s="385">
        <f t="shared" si="8"/>
        <v>0</v>
      </c>
      <c r="S35" s="385">
        <f t="shared" si="8"/>
        <v>0</v>
      </c>
      <c r="T35" s="385">
        <f t="shared" si="8"/>
        <v>0</v>
      </c>
      <c r="U35" s="385">
        <f t="shared" si="8"/>
        <v>0</v>
      </c>
      <c r="V35" s="385">
        <f t="shared" si="8"/>
        <v>0</v>
      </c>
      <c r="W35" s="385">
        <f t="shared" si="8"/>
        <v>0</v>
      </c>
      <c r="X35" s="386">
        <f t="shared" si="8"/>
        <v>0</v>
      </c>
    </row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1.86"/>
    <col customWidth="1" min="3" max="3" width="15.43"/>
    <col customWidth="1" min="4" max="4" width="8.29"/>
    <col customWidth="1" min="5" max="5" width="8.14"/>
    <col customWidth="1" min="6" max="6" width="10.0"/>
    <col customWidth="1" min="7" max="11" width="9.14"/>
    <col customWidth="1" min="12" max="13" width="9.43"/>
    <col customWidth="1" min="14" max="16" width="9.14"/>
    <col customWidth="1" min="17" max="18" width="8.86"/>
    <col customWidth="1" min="19" max="19" width="9.14"/>
    <col customWidth="1" min="20" max="20" width="9.86"/>
    <col customWidth="1" min="21" max="21" width="5.14"/>
    <col customWidth="1" min="22" max="22" width="7.0"/>
    <col customWidth="1" min="23" max="23" width="11.29"/>
    <col customWidth="1" min="24" max="24" width="12.86"/>
  </cols>
  <sheetData>
    <row r="2">
      <c r="F2" s="1"/>
    </row>
    <row r="3">
      <c r="B3" s="171" t="s">
        <v>278</v>
      </c>
      <c r="C3" s="4"/>
      <c r="D3" s="4"/>
      <c r="E3" s="172"/>
      <c r="F3" s="6"/>
      <c r="G3" s="173" t="s">
        <v>27</v>
      </c>
      <c r="H3" s="174" t="s">
        <v>2</v>
      </c>
      <c r="I3" s="175" t="s">
        <v>3</v>
      </c>
      <c r="J3" s="176" t="s">
        <v>4</v>
      </c>
      <c r="K3" s="177" t="s">
        <v>5</v>
      </c>
      <c r="L3" s="178" t="s">
        <v>6</v>
      </c>
      <c r="M3" s="179" t="s">
        <v>7</v>
      </c>
      <c r="N3" s="180" t="s">
        <v>8</v>
      </c>
      <c r="O3" s="181" t="s">
        <v>9</v>
      </c>
      <c r="P3" s="182" t="s">
        <v>10</v>
      </c>
      <c r="Q3" s="183" t="s">
        <v>11</v>
      </c>
      <c r="R3" s="184" t="s">
        <v>12</v>
      </c>
      <c r="S3" s="185" t="s">
        <v>13</v>
      </c>
      <c r="T3" s="186" t="s">
        <v>14</v>
      </c>
      <c r="U3" s="5"/>
      <c r="V3" s="5"/>
      <c r="W3" s="5"/>
      <c r="X3" s="187"/>
    </row>
    <row r="4">
      <c r="B4" s="188" t="s">
        <v>15</v>
      </c>
      <c r="C4" s="189"/>
      <c r="D4" s="190" t="s">
        <v>17</v>
      </c>
      <c r="E4" s="190" t="s">
        <v>18</v>
      </c>
      <c r="F4" s="191" t="s">
        <v>19</v>
      </c>
      <c r="G4" s="192">
        <v>2.0</v>
      </c>
      <c r="H4" s="193">
        <v>5.0</v>
      </c>
      <c r="I4" s="194">
        <v>7.0</v>
      </c>
      <c r="J4" s="195">
        <v>10.0</v>
      </c>
      <c r="K4" s="196">
        <v>11.0</v>
      </c>
      <c r="L4" s="197">
        <v>12.0</v>
      </c>
      <c r="M4" s="198">
        <v>13.0</v>
      </c>
      <c r="N4" s="199">
        <v>16.0</v>
      </c>
      <c r="O4" s="200">
        <v>27.0</v>
      </c>
      <c r="P4" s="201">
        <v>69.0</v>
      </c>
      <c r="Q4" s="202">
        <v>76.0</v>
      </c>
      <c r="R4" s="203">
        <v>77.0</v>
      </c>
      <c r="S4" s="122">
        <v>79.0</v>
      </c>
      <c r="T4" s="204">
        <v>81.0</v>
      </c>
      <c r="U4" s="122" t="s">
        <v>20</v>
      </c>
      <c r="V4" s="122" t="s">
        <v>21</v>
      </c>
      <c r="W4" s="122" t="s">
        <v>22</v>
      </c>
      <c r="X4" s="205" t="s">
        <v>91</v>
      </c>
    </row>
    <row r="5">
      <c r="B5" s="172"/>
      <c r="C5" s="172"/>
      <c r="D5" s="172"/>
      <c r="E5" s="172"/>
      <c r="F5" s="6"/>
      <c r="G5" s="5"/>
      <c r="H5" s="5"/>
      <c r="I5" s="5"/>
      <c r="J5" s="206"/>
      <c r="K5" s="5"/>
      <c r="L5" s="5"/>
      <c r="M5" s="5"/>
      <c r="N5" s="5"/>
      <c r="O5" s="5"/>
      <c r="P5" s="5"/>
      <c r="Q5" s="5"/>
      <c r="R5" s="5"/>
      <c r="S5" s="5"/>
      <c r="T5" s="207"/>
      <c r="U5" s="5"/>
      <c r="V5" s="5"/>
      <c r="W5" s="5"/>
      <c r="X5" s="187"/>
    </row>
    <row r="6" ht="74.25" customHeight="1">
      <c r="B6" s="120" t="s">
        <v>279</v>
      </c>
      <c r="C6" s="117"/>
      <c r="D6" s="117">
        <v>6.0</v>
      </c>
      <c r="E6" s="117" t="s">
        <v>121</v>
      </c>
      <c r="F6" s="225">
        <v>32.0</v>
      </c>
      <c r="G6" s="208"/>
      <c r="H6" s="209"/>
      <c r="I6" s="236"/>
      <c r="J6" s="211"/>
      <c r="K6" s="237"/>
      <c r="L6" s="213"/>
      <c r="M6" s="214"/>
      <c r="N6" s="215"/>
      <c r="O6" s="216"/>
      <c r="P6" s="217"/>
      <c r="Q6" s="218"/>
      <c r="R6" s="219"/>
      <c r="S6" s="220"/>
      <c r="T6" s="221"/>
      <c r="U6" s="222">
        <f t="shared" ref="U6:U17" si="1">SUM(G6:T6)</f>
        <v>0</v>
      </c>
      <c r="V6" s="222">
        <f t="shared" ref="V6:V17" si="2">U6*D6</f>
        <v>0</v>
      </c>
      <c r="W6" s="222">
        <f>SUM(U6*0.1)</f>
        <v>0</v>
      </c>
      <c r="X6" s="223">
        <f t="shared" ref="X6:X17" si="3">U6*F6</f>
        <v>0</v>
      </c>
    </row>
    <row r="7" ht="89.25" customHeight="1">
      <c r="B7" s="120" t="s">
        <v>280</v>
      </c>
      <c r="C7" s="117"/>
      <c r="D7" s="117">
        <v>6.0</v>
      </c>
      <c r="E7" s="117" t="s">
        <v>281</v>
      </c>
      <c r="F7" s="225">
        <v>37.0</v>
      </c>
      <c r="G7" s="208"/>
      <c r="H7" s="209"/>
      <c r="I7" s="236"/>
      <c r="J7" s="224"/>
      <c r="K7" s="237"/>
      <c r="L7" s="213"/>
      <c r="M7" s="214"/>
      <c r="N7" s="215"/>
      <c r="O7" s="216"/>
      <c r="P7" s="217"/>
      <c r="Q7" s="218"/>
      <c r="R7" s="219"/>
      <c r="S7" s="220"/>
      <c r="T7" s="221"/>
      <c r="U7" s="222">
        <f t="shared" si="1"/>
        <v>0</v>
      </c>
      <c r="V7" s="222">
        <f t="shared" si="2"/>
        <v>0</v>
      </c>
      <c r="W7" s="222">
        <f t="shared" ref="W7:W8" si="4">U7*0.19</f>
        <v>0</v>
      </c>
      <c r="X7" s="223">
        <f t="shared" si="3"/>
        <v>0</v>
      </c>
    </row>
    <row r="8" ht="89.25" customHeight="1">
      <c r="B8" s="120" t="s">
        <v>282</v>
      </c>
      <c r="C8" s="117"/>
      <c r="D8" s="117">
        <v>6.0</v>
      </c>
      <c r="E8" s="117" t="s">
        <v>283</v>
      </c>
      <c r="F8" s="225">
        <v>37.0</v>
      </c>
      <c r="G8" s="208"/>
      <c r="H8" s="209"/>
      <c r="I8" s="236"/>
      <c r="J8" s="224"/>
      <c r="K8" s="237"/>
      <c r="L8" s="213"/>
      <c r="M8" s="214"/>
      <c r="N8" s="215"/>
      <c r="O8" s="216"/>
      <c r="P8" s="217"/>
      <c r="Q8" s="218"/>
      <c r="R8" s="219"/>
      <c r="S8" s="220"/>
      <c r="T8" s="221"/>
      <c r="U8" s="222">
        <f t="shared" si="1"/>
        <v>0</v>
      </c>
      <c r="V8" s="222">
        <f t="shared" si="2"/>
        <v>0</v>
      </c>
      <c r="W8" s="222">
        <f t="shared" si="4"/>
        <v>0</v>
      </c>
      <c r="X8" s="223">
        <f t="shared" si="3"/>
        <v>0</v>
      </c>
    </row>
    <row r="9" ht="87.0" customHeight="1">
      <c r="B9" s="120" t="s">
        <v>284</v>
      </c>
      <c r="C9" s="118"/>
      <c r="D9" s="117">
        <v>6.0</v>
      </c>
      <c r="E9" s="117" t="s">
        <v>285</v>
      </c>
      <c r="F9" s="225">
        <v>67.0</v>
      </c>
      <c r="G9" s="208"/>
      <c r="H9" s="209"/>
      <c r="I9" s="236"/>
      <c r="J9" s="224"/>
      <c r="K9" s="237"/>
      <c r="L9" s="213"/>
      <c r="M9" s="214"/>
      <c r="N9" s="215"/>
      <c r="O9" s="216"/>
      <c r="P9" s="217"/>
      <c r="Q9" s="218"/>
      <c r="R9" s="219"/>
      <c r="S9" s="220"/>
      <c r="T9" s="221"/>
      <c r="U9" s="222">
        <f t="shared" si="1"/>
        <v>0</v>
      </c>
      <c r="V9" s="222">
        <f t="shared" si="2"/>
        <v>0</v>
      </c>
      <c r="W9" s="222">
        <f>U9*0.72</f>
        <v>0</v>
      </c>
      <c r="X9" s="223">
        <f t="shared" si="3"/>
        <v>0</v>
      </c>
    </row>
    <row r="10" ht="88.5" customHeight="1">
      <c r="B10" s="120" t="s">
        <v>286</v>
      </c>
      <c r="C10" s="118"/>
      <c r="D10" s="117">
        <v>6.0</v>
      </c>
      <c r="E10" s="117" t="s">
        <v>287</v>
      </c>
      <c r="F10" s="225">
        <v>86.0</v>
      </c>
      <c r="G10" s="208"/>
      <c r="H10" s="209"/>
      <c r="I10" s="236"/>
      <c r="J10" s="224"/>
      <c r="K10" s="237"/>
      <c r="L10" s="213"/>
      <c r="M10" s="214"/>
      <c r="N10" s="215"/>
      <c r="O10" s="216"/>
      <c r="P10" s="217"/>
      <c r="Q10" s="218"/>
      <c r="R10" s="219"/>
      <c r="S10" s="220"/>
      <c r="T10" s="221"/>
      <c r="U10" s="222">
        <f t="shared" si="1"/>
        <v>0</v>
      </c>
      <c r="V10" s="222">
        <f t="shared" si="2"/>
        <v>0</v>
      </c>
      <c r="W10" s="222">
        <f>U10*1.1</f>
        <v>0</v>
      </c>
      <c r="X10" s="223">
        <f t="shared" si="3"/>
        <v>0</v>
      </c>
    </row>
    <row r="11" ht="90.75" customHeight="1">
      <c r="B11" s="387" t="s">
        <v>96</v>
      </c>
      <c r="C11" s="117"/>
      <c r="D11" s="117">
        <v>3.0</v>
      </c>
      <c r="E11" s="117" t="s">
        <v>288</v>
      </c>
      <c r="F11" s="225">
        <v>111.0</v>
      </c>
      <c r="G11" s="208"/>
      <c r="H11" s="209"/>
      <c r="I11" s="236"/>
      <c r="J11" s="224"/>
      <c r="K11" s="237"/>
      <c r="L11" s="213"/>
      <c r="M11" s="214"/>
      <c r="N11" s="215"/>
      <c r="O11" s="216"/>
      <c r="P11" s="217"/>
      <c r="Q11" s="218"/>
      <c r="R11" s="219"/>
      <c r="S11" s="220"/>
      <c r="T11" s="221"/>
      <c r="U11" s="222">
        <f t="shared" si="1"/>
        <v>0</v>
      </c>
      <c r="V11" s="222">
        <f t="shared" si="2"/>
        <v>0</v>
      </c>
      <c r="W11" s="222">
        <f>U11*0.94</f>
        <v>0</v>
      </c>
      <c r="X11" s="223">
        <f t="shared" si="3"/>
        <v>0</v>
      </c>
    </row>
    <row r="12" ht="90.0" customHeight="1">
      <c r="B12" s="387" t="s">
        <v>98</v>
      </c>
      <c r="C12" s="117"/>
      <c r="D12" s="117">
        <v>3.0</v>
      </c>
      <c r="E12" s="117" t="s">
        <v>289</v>
      </c>
      <c r="F12" s="225">
        <v>108.0</v>
      </c>
      <c r="G12" s="208"/>
      <c r="H12" s="209"/>
      <c r="I12" s="236"/>
      <c r="J12" s="224"/>
      <c r="K12" s="237"/>
      <c r="L12" s="213"/>
      <c r="M12" s="214"/>
      <c r="N12" s="215"/>
      <c r="O12" s="216"/>
      <c r="P12" s="217"/>
      <c r="Q12" s="218"/>
      <c r="R12" s="219"/>
      <c r="S12" s="220"/>
      <c r="T12" s="221"/>
      <c r="U12" s="222">
        <f t="shared" si="1"/>
        <v>0</v>
      </c>
      <c r="V12" s="222">
        <f t="shared" si="2"/>
        <v>0</v>
      </c>
      <c r="W12" s="222"/>
      <c r="X12" s="223">
        <f t="shared" si="3"/>
        <v>0</v>
      </c>
    </row>
    <row r="13" ht="91.5" customHeight="1">
      <c r="B13" s="387" t="s">
        <v>290</v>
      </c>
      <c r="C13" s="117"/>
      <c r="D13" s="117">
        <v>2.0</v>
      </c>
      <c r="E13" s="117" t="s">
        <v>291</v>
      </c>
      <c r="F13" s="225">
        <v>100.0</v>
      </c>
      <c r="G13" s="208"/>
      <c r="H13" s="209"/>
      <c r="I13" s="236"/>
      <c r="J13" s="224"/>
      <c r="K13" s="237"/>
      <c r="L13" s="213"/>
      <c r="M13" s="214"/>
      <c r="N13" s="215"/>
      <c r="O13" s="216"/>
      <c r="P13" s="217"/>
      <c r="Q13" s="218"/>
      <c r="R13" s="219"/>
      <c r="S13" s="220"/>
      <c r="T13" s="221"/>
      <c r="U13" s="222">
        <f t="shared" si="1"/>
        <v>0</v>
      </c>
      <c r="V13" s="222">
        <f t="shared" si="2"/>
        <v>0</v>
      </c>
      <c r="W13" s="222">
        <f>U11*0.98</f>
        <v>0</v>
      </c>
      <c r="X13" s="223">
        <f t="shared" si="3"/>
        <v>0</v>
      </c>
    </row>
    <row r="14" ht="89.25" customHeight="1">
      <c r="B14" s="309" t="s">
        <v>292</v>
      </c>
      <c r="C14" s="45"/>
      <c r="D14" s="45">
        <v>2.0</v>
      </c>
      <c r="E14" s="45" t="s">
        <v>293</v>
      </c>
      <c r="F14" s="311">
        <v>128.0</v>
      </c>
      <c r="G14" s="208"/>
      <c r="H14" s="209"/>
      <c r="I14" s="236"/>
      <c r="J14" s="224"/>
      <c r="K14" s="237"/>
      <c r="L14" s="213"/>
      <c r="M14" s="214"/>
      <c r="N14" s="215"/>
      <c r="O14" s="216"/>
      <c r="P14" s="217"/>
      <c r="Q14" s="218"/>
      <c r="R14" s="219"/>
      <c r="S14" s="388"/>
      <c r="T14" s="221"/>
      <c r="U14" s="222">
        <f t="shared" si="1"/>
        <v>0</v>
      </c>
      <c r="V14" s="222">
        <f t="shared" si="2"/>
        <v>0</v>
      </c>
      <c r="W14" s="222"/>
      <c r="X14" s="223">
        <f t="shared" si="3"/>
        <v>0</v>
      </c>
    </row>
    <row r="15" ht="90.0" customHeight="1">
      <c r="A15" s="389" t="s">
        <v>294</v>
      </c>
      <c r="B15" s="389" t="s">
        <v>295</v>
      </c>
      <c r="C15" s="21"/>
      <c r="D15" s="45">
        <v>7.0</v>
      </c>
      <c r="E15" s="119" t="s">
        <v>296</v>
      </c>
      <c r="F15" s="311">
        <v>1370.0</v>
      </c>
      <c r="G15" s="208"/>
      <c r="H15" s="209"/>
      <c r="I15" s="236"/>
      <c r="J15" s="224"/>
      <c r="K15" s="237"/>
      <c r="L15" s="213"/>
      <c r="M15" s="214"/>
      <c r="N15" s="215"/>
      <c r="O15" s="216"/>
      <c r="P15" s="217"/>
      <c r="Q15" s="218"/>
      <c r="R15" s="219"/>
      <c r="S15" s="388"/>
      <c r="T15" s="221"/>
      <c r="U15" s="222">
        <f t="shared" si="1"/>
        <v>0</v>
      </c>
      <c r="V15" s="222">
        <f t="shared" si="2"/>
        <v>0</v>
      </c>
      <c r="W15" s="222"/>
      <c r="X15" s="223">
        <f t="shared" si="3"/>
        <v>0</v>
      </c>
    </row>
    <row r="16" ht="90.0" customHeight="1">
      <c r="A16" s="389" t="s">
        <v>294</v>
      </c>
      <c r="B16" s="389" t="s">
        <v>297</v>
      </c>
      <c r="C16" s="21"/>
      <c r="D16" s="45">
        <v>11.0</v>
      </c>
      <c r="E16" s="119"/>
      <c r="F16" s="311">
        <v>2045.0</v>
      </c>
      <c r="G16" s="208"/>
      <c r="H16" s="209"/>
      <c r="I16" s="236"/>
      <c r="J16" s="224"/>
      <c r="K16" s="237"/>
      <c r="L16" s="213"/>
      <c r="M16" s="214"/>
      <c r="N16" s="215"/>
      <c r="O16" s="216"/>
      <c r="P16" s="217"/>
      <c r="Q16" s="218"/>
      <c r="R16" s="219"/>
      <c r="S16" s="388"/>
      <c r="T16" s="221"/>
      <c r="U16" s="222">
        <f t="shared" si="1"/>
        <v>0</v>
      </c>
      <c r="V16" s="222">
        <f t="shared" si="2"/>
        <v>0</v>
      </c>
      <c r="W16" s="222"/>
      <c r="X16" s="223">
        <f t="shared" si="3"/>
        <v>0</v>
      </c>
    </row>
    <row r="17" ht="90.0" customHeight="1">
      <c r="A17" s="389" t="s">
        <v>294</v>
      </c>
      <c r="B17" s="389" t="s">
        <v>298</v>
      </c>
      <c r="C17" s="21"/>
      <c r="D17" s="45">
        <v>18.0</v>
      </c>
      <c r="E17" s="390" t="s">
        <v>299</v>
      </c>
      <c r="F17" s="391">
        <v>3003.0</v>
      </c>
      <c r="G17" s="208"/>
      <c r="H17" s="209"/>
      <c r="I17" s="236"/>
      <c r="J17" s="224"/>
      <c r="K17" s="237"/>
      <c r="L17" s="213"/>
      <c r="M17" s="214"/>
      <c r="N17" s="215"/>
      <c r="O17" s="216"/>
      <c r="P17" s="217"/>
      <c r="Q17" s="218"/>
      <c r="R17" s="219"/>
      <c r="S17" s="388"/>
      <c r="T17" s="221"/>
      <c r="U17" s="222">
        <f t="shared" si="1"/>
        <v>0</v>
      </c>
      <c r="V17" s="222">
        <f t="shared" si="2"/>
        <v>0</v>
      </c>
      <c r="W17" s="222"/>
      <c r="X17" s="223">
        <f t="shared" si="3"/>
        <v>0</v>
      </c>
    </row>
    <row r="18">
      <c r="G18" s="80">
        <f t="shared" ref="G18:X18" si="5">SUM(G6:G17)</f>
        <v>0</v>
      </c>
      <c r="H18" s="80">
        <f t="shared" si="5"/>
        <v>0</v>
      </c>
      <c r="I18" s="80">
        <f t="shared" si="5"/>
        <v>0</v>
      </c>
      <c r="J18" s="80">
        <f t="shared" si="5"/>
        <v>0</v>
      </c>
      <c r="K18" s="80">
        <f t="shared" si="5"/>
        <v>0</v>
      </c>
      <c r="L18" s="80">
        <f t="shared" si="5"/>
        <v>0</v>
      </c>
      <c r="M18" s="80">
        <f t="shared" si="5"/>
        <v>0</v>
      </c>
      <c r="N18" s="80">
        <f t="shared" si="5"/>
        <v>0</v>
      </c>
      <c r="O18" s="80">
        <f t="shared" si="5"/>
        <v>0</v>
      </c>
      <c r="P18" s="80">
        <f t="shared" si="5"/>
        <v>0</v>
      </c>
      <c r="Q18" s="80">
        <f t="shared" si="5"/>
        <v>0</v>
      </c>
      <c r="R18" s="80">
        <f t="shared" si="5"/>
        <v>0</v>
      </c>
      <c r="S18" s="80">
        <f t="shared" si="5"/>
        <v>0</v>
      </c>
      <c r="T18" s="80">
        <f t="shared" si="5"/>
        <v>0</v>
      </c>
      <c r="U18" s="80">
        <f t="shared" si="5"/>
        <v>0</v>
      </c>
      <c r="V18" s="80">
        <f t="shared" si="5"/>
        <v>0</v>
      </c>
      <c r="W18" s="80">
        <f t="shared" si="5"/>
        <v>0</v>
      </c>
      <c r="X18" s="81">
        <f t="shared" si="5"/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3.29"/>
    <col customWidth="1" min="3" max="3" width="19.29"/>
    <col customWidth="1" min="4" max="4" width="8.29"/>
    <col customWidth="1" min="5" max="5" width="6.0"/>
    <col customWidth="1" min="6" max="6" width="8.43"/>
    <col customWidth="1" min="7" max="20" width="9.14"/>
    <col customWidth="1" min="21" max="21" width="5.14"/>
    <col customWidth="1" min="22" max="22" width="7.0"/>
    <col customWidth="1" min="23" max="23" width="8.14"/>
    <col customWidth="1" min="24" max="24" width="11.71"/>
  </cols>
  <sheetData>
    <row r="1">
      <c r="F1" s="1"/>
    </row>
    <row r="2">
      <c r="B2" s="392" t="s">
        <v>300</v>
      </c>
      <c r="F2" s="1"/>
    </row>
    <row r="3" ht="34.5" customHeight="1">
      <c r="F3" s="1"/>
      <c r="G3" s="173" t="s">
        <v>27</v>
      </c>
      <c r="H3" s="174" t="s">
        <v>2</v>
      </c>
      <c r="I3" s="231" t="s">
        <v>3</v>
      </c>
      <c r="J3" s="176" t="s">
        <v>4</v>
      </c>
      <c r="K3" s="232" t="s">
        <v>5</v>
      </c>
      <c r="L3" s="178" t="s">
        <v>6</v>
      </c>
      <c r="M3" s="179" t="s">
        <v>7</v>
      </c>
      <c r="N3" s="180" t="s">
        <v>8</v>
      </c>
      <c r="O3" s="181" t="s">
        <v>9</v>
      </c>
      <c r="P3" s="182" t="s">
        <v>10</v>
      </c>
      <c r="Q3" s="183" t="s">
        <v>11</v>
      </c>
      <c r="R3" s="184" t="s">
        <v>12</v>
      </c>
      <c r="S3" s="185" t="s">
        <v>13</v>
      </c>
      <c r="T3" s="186" t="s">
        <v>14</v>
      </c>
    </row>
    <row r="4">
      <c r="B4" s="188" t="s">
        <v>15</v>
      </c>
      <c r="C4" s="189" t="s">
        <v>218</v>
      </c>
      <c r="D4" s="190" t="s">
        <v>17</v>
      </c>
      <c r="E4" s="190" t="s">
        <v>18</v>
      </c>
      <c r="F4" s="191" t="s">
        <v>19</v>
      </c>
      <c r="G4" s="328">
        <v>2.0</v>
      </c>
      <c r="H4" s="329">
        <v>5.0</v>
      </c>
      <c r="I4" s="330">
        <v>7.0</v>
      </c>
      <c r="J4" s="331">
        <v>10.0</v>
      </c>
      <c r="K4" s="332">
        <v>11.0</v>
      </c>
      <c r="L4" s="333">
        <v>12.0</v>
      </c>
      <c r="M4" s="334">
        <v>13.0</v>
      </c>
      <c r="N4" s="335">
        <v>16.0</v>
      </c>
      <c r="O4" s="336">
        <v>27.0</v>
      </c>
      <c r="P4" s="337">
        <v>69.0</v>
      </c>
      <c r="Q4" s="338">
        <v>76.0</v>
      </c>
      <c r="R4" s="339">
        <v>77.0</v>
      </c>
      <c r="S4" s="108">
        <v>79.0</v>
      </c>
      <c r="T4" s="340">
        <v>81.0</v>
      </c>
      <c r="U4" s="122" t="s">
        <v>20</v>
      </c>
      <c r="V4" s="122" t="s">
        <v>21</v>
      </c>
      <c r="W4" s="122" t="s">
        <v>22</v>
      </c>
      <c r="X4" s="205" t="s">
        <v>91</v>
      </c>
    </row>
    <row r="5">
      <c r="B5" s="393"/>
      <c r="C5" s="393"/>
      <c r="D5" s="393"/>
      <c r="E5" s="393"/>
      <c r="F5" s="394"/>
      <c r="G5" s="395"/>
      <c r="H5" s="395"/>
      <c r="I5" s="395"/>
      <c r="J5" s="396"/>
      <c r="K5" s="395"/>
      <c r="L5" s="395"/>
      <c r="M5" s="395"/>
      <c r="N5" s="395"/>
      <c r="O5" s="395"/>
      <c r="P5" s="395"/>
      <c r="Q5" s="395"/>
      <c r="R5" s="395"/>
      <c r="S5" s="395"/>
      <c r="T5" s="396"/>
      <c r="U5" s="395"/>
      <c r="V5" s="395"/>
      <c r="W5" s="395"/>
      <c r="X5" s="397"/>
    </row>
    <row r="6" ht="99.75" customHeight="1">
      <c r="B6" s="260" t="s">
        <v>301</v>
      </c>
      <c r="C6" s="240"/>
      <c r="D6" s="241">
        <v>15.0</v>
      </c>
      <c r="E6" s="241" t="s">
        <v>302</v>
      </c>
      <c r="F6" s="46">
        <v>61.0</v>
      </c>
      <c r="G6" s="243"/>
      <c r="H6" s="244"/>
      <c r="I6" s="245"/>
      <c r="J6" s="246"/>
      <c r="K6" s="398"/>
      <c r="L6" s="248"/>
      <c r="M6" s="249"/>
      <c r="N6" s="250"/>
      <c r="O6" s="251"/>
      <c r="P6" s="252"/>
      <c r="Q6" s="253"/>
      <c r="R6" s="254"/>
      <c r="S6" s="255"/>
      <c r="T6" s="256"/>
      <c r="U6" s="257">
        <f t="shared" ref="U6:U28" si="1">SUM(G6:T6)</f>
        <v>0</v>
      </c>
      <c r="V6" s="257">
        <f t="shared" ref="V6:V28" si="2">D6*U6</f>
        <v>0</v>
      </c>
      <c r="W6" s="257">
        <f>U6*0.28</f>
        <v>0</v>
      </c>
      <c r="X6" s="258">
        <f t="shared" ref="X6:X7" si="3">F6*U6</f>
        <v>0</v>
      </c>
    </row>
    <row r="7" ht="99.75" customHeight="1">
      <c r="B7" s="260" t="s">
        <v>137</v>
      </c>
      <c r="C7" s="240"/>
      <c r="D7" s="241">
        <v>10.0</v>
      </c>
      <c r="E7" s="241" t="s">
        <v>303</v>
      </c>
      <c r="F7" s="46">
        <v>72.0</v>
      </c>
      <c r="G7" s="243"/>
      <c r="H7" s="244"/>
      <c r="I7" s="245"/>
      <c r="J7" s="246"/>
      <c r="K7" s="398"/>
      <c r="L7" s="248"/>
      <c r="M7" s="249"/>
      <c r="N7" s="250"/>
      <c r="O7" s="251"/>
      <c r="P7" s="252"/>
      <c r="Q7" s="253"/>
      <c r="R7" s="254"/>
      <c r="S7" s="255"/>
      <c r="T7" s="256"/>
      <c r="U7" s="257">
        <f t="shared" si="1"/>
        <v>0</v>
      </c>
      <c r="V7" s="257">
        <f t="shared" si="2"/>
        <v>0</v>
      </c>
      <c r="W7" s="257">
        <f>U7*0.77</f>
        <v>0</v>
      </c>
      <c r="X7" s="258">
        <f t="shared" si="3"/>
        <v>0</v>
      </c>
    </row>
    <row r="8" ht="99.75" customHeight="1">
      <c r="B8" s="260" t="s">
        <v>304</v>
      </c>
      <c r="C8" s="240"/>
      <c r="D8" s="241">
        <v>5.0</v>
      </c>
      <c r="E8" s="241" t="s">
        <v>305</v>
      </c>
      <c r="F8" s="46">
        <v>48.0</v>
      </c>
      <c r="G8" s="243"/>
      <c r="H8" s="244"/>
      <c r="I8" s="245"/>
      <c r="J8" s="246"/>
      <c r="K8" s="398"/>
      <c r="L8" s="248"/>
      <c r="M8" s="249"/>
      <c r="N8" s="250"/>
      <c r="O8" s="251"/>
      <c r="P8" s="252"/>
      <c r="Q8" s="253"/>
      <c r="R8" s="254"/>
      <c r="S8" s="255"/>
      <c r="T8" s="256"/>
      <c r="U8" s="257">
        <f t="shared" si="1"/>
        <v>0</v>
      </c>
      <c r="V8" s="257">
        <f t="shared" si="2"/>
        <v>0</v>
      </c>
      <c r="W8" s="257">
        <f>U8*0.6</f>
        <v>0</v>
      </c>
      <c r="X8" s="258">
        <f t="shared" ref="X8:X9" si="4">U8*F8</f>
        <v>0</v>
      </c>
    </row>
    <row r="9" ht="99.75" customHeight="1">
      <c r="B9" s="239" t="s">
        <v>306</v>
      </c>
      <c r="C9" s="240"/>
      <c r="D9" s="241">
        <v>10.0</v>
      </c>
      <c r="E9" s="241" t="s">
        <v>307</v>
      </c>
      <c r="F9" s="46">
        <v>42.0</v>
      </c>
      <c r="G9" s="243"/>
      <c r="H9" s="244"/>
      <c r="I9" s="245"/>
      <c r="J9" s="246"/>
      <c r="K9" s="398"/>
      <c r="L9" s="248"/>
      <c r="M9" s="249"/>
      <c r="N9" s="250"/>
      <c r="O9" s="251"/>
      <c r="P9" s="252"/>
      <c r="Q9" s="253"/>
      <c r="R9" s="254"/>
      <c r="S9" s="255"/>
      <c r="T9" s="256"/>
      <c r="U9" s="257">
        <f t="shared" si="1"/>
        <v>0</v>
      </c>
      <c r="V9" s="257">
        <f t="shared" si="2"/>
        <v>0</v>
      </c>
      <c r="W9" s="257">
        <f>U9*0.2</f>
        <v>0</v>
      </c>
      <c r="X9" s="258">
        <f t="shared" si="4"/>
        <v>0</v>
      </c>
    </row>
    <row r="10" ht="99.75" customHeight="1">
      <c r="B10" s="260" t="s">
        <v>308</v>
      </c>
      <c r="C10" s="240"/>
      <c r="D10" s="241">
        <v>5.0</v>
      </c>
      <c r="E10" s="241" t="s">
        <v>309</v>
      </c>
      <c r="F10" s="46">
        <v>27.0</v>
      </c>
      <c r="G10" s="243"/>
      <c r="H10" s="244"/>
      <c r="I10" s="245"/>
      <c r="J10" s="246"/>
      <c r="K10" s="398"/>
      <c r="L10" s="248"/>
      <c r="M10" s="249"/>
      <c r="N10" s="250"/>
      <c r="O10" s="251"/>
      <c r="P10" s="252"/>
      <c r="Q10" s="253"/>
      <c r="R10" s="254"/>
      <c r="S10" s="255"/>
      <c r="T10" s="256"/>
      <c r="U10" s="257">
        <f t="shared" si="1"/>
        <v>0</v>
      </c>
      <c r="V10" s="257">
        <f t="shared" si="2"/>
        <v>0</v>
      </c>
      <c r="W10" s="257">
        <f>U10*0.15</f>
        <v>0</v>
      </c>
      <c r="X10" s="258">
        <f t="shared" ref="X10:X28" si="5">F10*U10</f>
        <v>0</v>
      </c>
    </row>
    <row r="11" ht="99.75" customHeight="1">
      <c r="B11" s="260" t="s">
        <v>310</v>
      </c>
      <c r="C11" s="240"/>
      <c r="D11" s="241">
        <v>5.0</v>
      </c>
      <c r="E11" s="241" t="s">
        <v>311</v>
      </c>
      <c r="F11" s="46">
        <v>31.0</v>
      </c>
      <c r="G11" s="243"/>
      <c r="H11" s="244"/>
      <c r="I11" s="245"/>
      <c r="J11" s="246"/>
      <c r="K11" s="398"/>
      <c r="L11" s="248"/>
      <c r="M11" s="249"/>
      <c r="N11" s="250"/>
      <c r="O11" s="251"/>
      <c r="P11" s="252"/>
      <c r="Q11" s="253"/>
      <c r="R11" s="254"/>
      <c r="S11" s="255"/>
      <c r="T11" s="256"/>
      <c r="U11" s="257">
        <f t="shared" si="1"/>
        <v>0</v>
      </c>
      <c r="V11" s="257">
        <f t="shared" si="2"/>
        <v>0</v>
      </c>
      <c r="W11" s="257">
        <f t="shared" ref="W11:W12" si="6">U11*0.6</f>
        <v>0</v>
      </c>
      <c r="X11" s="258">
        <f t="shared" si="5"/>
        <v>0</v>
      </c>
    </row>
    <row r="12" ht="99.75" customHeight="1">
      <c r="B12" s="150" t="s">
        <v>312</v>
      </c>
      <c r="C12" s="151"/>
      <c r="D12" s="117">
        <v>10.0</v>
      </c>
      <c r="E12" s="117" t="s">
        <v>313</v>
      </c>
      <c r="F12" s="46">
        <v>62.0</v>
      </c>
      <c r="G12" s="208"/>
      <c r="H12" s="209"/>
      <c r="I12" s="236"/>
      <c r="J12" s="224"/>
      <c r="K12" s="364"/>
      <c r="L12" s="213"/>
      <c r="M12" s="214"/>
      <c r="N12" s="215"/>
      <c r="O12" s="216"/>
      <c r="P12" s="217"/>
      <c r="Q12" s="218"/>
      <c r="R12" s="219"/>
      <c r="S12" s="220"/>
      <c r="T12" s="221"/>
      <c r="U12" s="257">
        <f t="shared" si="1"/>
        <v>0</v>
      </c>
      <c r="V12" s="257">
        <f t="shared" si="2"/>
        <v>0</v>
      </c>
      <c r="W12" s="222">
        <f t="shared" si="6"/>
        <v>0</v>
      </c>
      <c r="X12" s="262">
        <f t="shared" si="5"/>
        <v>0</v>
      </c>
    </row>
    <row r="13" ht="99.75" customHeight="1">
      <c r="B13" s="261" t="s">
        <v>314</v>
      </c>
      <c r="C13" s="151"/>
      <c r="D13" s="117">
        <v>5.0</v>
      </c>
      <c r="E13" s="117" t="s">
        <v>315</v>
      </c>
      <c r="F13" s="46">
        <v>90.0</v>
      </c>
      <c r="G13" s="208"/>
      <c r="H13" s="209"/>
      <c r="I13" s="236"/>
      <c r="J13" s="224"/>
      <c r="K13" s="364"/>
      <c r="L13" s="213"/>
      <c r="M13" s="214"/>
      <c r="N13" s="215"/>
      <c r="O13" s="216"/>
      <c r="P13" s="217"/>
      <c r="Q13" s="218"/>
      <c r="R13" s="219"/>
      <c r="S13" s="220"/>
      <c r="T13" s="221"/>
      <c r="U13" s="257">
        <f t="shared" si="1"/>
        <v>0</v>
      </c>
      <c r="V13" s="257">
        <f t="shared" si="2"/>
        <v>0</v>
      </c>
      <c r="W13" s="222">
        <f>U13*1.5</f>
        <v>0</v>
      </c>
      <c r="X13" s="262">
        <f t="shared" si="5"/>
        <v>0</v>
      </c>
    </row>
    <row r="14" ht="99.75" customHeight="1">
      <c r="B14" s="150" t="s">
        <v>316</v>
      </c>
      <c r="C14" s="151"/>
      <c r="D14" s="117">
        <v>10.0</v>
      </c>
      <c r="E14" s="117" t="s">
        <v>317</v>
      </c>
      <c r="F14" s="46">
        <v>88.0</v>
      </c>
      <c r="G14" s="208"/>
      <c r="H14" s="209"/>
      <c r="I14" s="236"/>
      <c r="J14" s="224"/>
      <c r="K14" s="364"/>
      <c r="L14" s="213"/>
      <c r="M14" s="214"/>
      <c r="N14" s="215"/>
      <c r="O14" s="216"/>
      <c r="P14" s="217"/>
      <c r="Q14" s="218"/>
      <c r="R14" s="219"/>
      <c r="S14" s="220"/>
      <c r="T14" s="221"/>
      <c r="U14" s="257">
        <f t="shared" si="1"/>
        <v>0</v>
      </c>
      <c r="V14" s="257">
        <f t="shared" si="2"/>
        <v>0</v>
      </c>
      <c r="W14" s="222">
        <f>U14*1.15</f>
        <v>0</v>
      </c>
      <c r="X14" s="262">
        <f t="shared" si="5"/>
        <v>0</v>
      </c>
    </row>
    <row r="15" ht="99.75" customHeight="1">
      <c r="B15" s="261" t="s">
        <v>318</v>
      </c>
      <c r="C15" s="151"/>
      <c r="D15" s="117">
        <v>5.0</v>
      </c>
      <c r="E15" s="117" t="s">
        <v>319</v>
      </c>
      <c r="F15" s="46">
        <v>41.0</v>
      </c>
      <c r="G15" s="208"/>
      <c r="H15" s="209"/>
      <c r="I15" s="236"/>
      <c r="J15" s="224"/>
      <c r="K15" s="364"/>
      <c r="L15" s="213"/>
      <c r="M15" s="214"/>
      <c r="N15" s="215"/>
      <c r="O15" s="216"/>
      <c r="P15" s="217"/>
      <c r="Q15" s="218"/>
      <c r="R15" s="219"/>
      <c r="S15" s="220"/>
      <c r="T15" s="221"/>
      <c r="U15" s="257">
        <f t="shared" si="1"/>
        <v>0</v>
      </c>
      <c r="V15" s="257">
        <f t="shared" si="2"/>
        <v>0</v>
      </c>
      <c r="W15" s="222">
        <f>U15*0.45</f>
        <v>0</v>
      </c>
      <c r="X15" s="262">
        <f t="shared" si="5"/>
        <v>0</v>
      </c>
    </row>
    <row r="16" ht="99.75" customHeight="1">
      <c r="B16" s="261" t="s">
        <v>320</v>
      </c>
      <c r="C16" s="151"/>
      <c r="D16" s="117">
        <v>5.0</v>
      </c>
      <c r="E16" s="117" t="s">
        <v>321</v>
      </c>
      <c r="F16" s="46">
        <v>100.0</v>
      </c>
      <c r="G16" s="208"/>
      <c r="H16" s="209"/>
      <c r="I16" s="236"/>
      <c r="J16" s="224"/>
      <c r="K16" s="364"/>
      <c r="L16" s="213"/>
      <c r="M16" s="214"/>
      <c r="N16" s="215"/>
      <c r="O16" s="216"/>
      <c r="P16" s="217"/>
      <c r="Q16" s="218"/>
      <c r="R16" s="219"/>
      <c r="S16" s="220"/>
      <c r="T16" s="221"/>
      <c r="U16" s="257">
        <f t="shared" si="1"/>
        <v>0</v>
      </c>
      <c r="V16" s="257">
        <f t="shared" si="2"/>
        <v>0</v>
      </c>
      <c r="W16" s="222">
        <f>U16*1.7</f>
        <v>0</v>
      </c>
      <c r="X16" s="262">
        <f t="shared" si="5"/>
        <v>0</v>
      </c>
    </row>
    <row r="17" ht="99.75" customHeight="1">
      <c r="B17" s="150" t="s">
        <v>322</v>
      </c>
      <c r="C17" s="151"/>
      <c r="D17" s="117">
        <v>10.0</v>
      </c>
      <c r="E17" s="117" t="s">
        <v>323</v>
      </c>
      <c r="F17" s="46">
        <v>134.0</v>
      </c>
      <c r="G17" s="208"/>
      <c r="H17" s="209"/>
      <c r="I17" s="236"/>
      <c r="J17" s="224"/>
      <c r="K17" s="364"/>
      <c r="L17" s="213"/>
      <c r="M17" s="214"/>
      <c r="N17" s="215"/>
      <c r="O17" s="216"/>
      <c r="P17" s="217"/>
      <c r="Q17" s="218"/>
      <c r="R17" s="219"/>
      <c r="S17" s="220"/>
      <c r="T17" s="221"/>
      <c r="U17" s="257">
        <f t="shared" si="1"/>
        <v>0</v>
      </c>
      <c r="V17" s="257">
        <f t="shared" si="2"/>
        <v>0</v>
      </c>
      <c r="W17" s="222">
        <f>U17*2.14</f>
        <v>0</v>
      </c>
      <c r="X17" s="262">
        <f t="shared" si="5"/>
        <v>0</v>
      </c>
    </row>
    <row r="18" ht="99.75" customHeight="1">
      <c r="B18" s="150" t="s">
        <v>324</v>
      </c>
      <c r="C18" s="151"/>
      <c r="D18" s="117">
        <v>5.0</v>
      </c>
      <c r="E18" s="117" t="s">
        <v>325</v>
      </c>
      <c r="F18" s="46">
        <v>70.0</v>
      </c>
      <c r="G18" s="208"/>
      <c r="H18" s="209"/>
      <c r="I18" s="236"/>
      <c r="J18" s="224"/>
      <c r="K18" s="237"/>
      <c r="L18" s="213"/>
      <c r="M18" s="214"/>
      <c r="N18" s="215"/>
      <c r="O18" s="216"/>
      <c r="P18" s="217"/>
      <c r="Q18" s="218"/>
      <c r="R18" s="219"/>
      <c r="S18" s="220"/>
      <c r="T18" s="221"/>
      <c r="U18" s="257">
        <f t="shared" si="1"/>
        <v>0</v>
      </c>
      <c r="V18" s="257">
        <f t="shared" si="2"/>
        <v>0</v>
      </c>
      <c r="W18" s="222">
        <f>U18*1.1</f>
        <v>0</v>
      </c>
      <c r="X18" s="262">
        <f t="shared" si="5"/>
        <v>0</v>
      </c>
    </row>
    <row r="19" ht="99.75" customHeight="1">
      <c r="B19" s="150" t="s">
        <v>326</v>
      </c>
      <c r="C19" s="151"/>
      <c r="D19" s="117">
        <v>10.0</v>
      </c>
      <c r="E19" s="117" t="s">
        <v>327</v>
      </c>
      <c r="F19" s="46">
        <v>197.0</v>
      </c>
      <c r="G19" s="208"/>
      <c r="H19" s="209"/>
      <c r="I19" s="236"/>
      <c r="J19" s="224"/>
      <c r="K19" s="237"/>
      <c r="L19" s="213"/>
      <c r="M19" s="214"/>
      <c r="N19" s="215"/>
      <c r="O19" s="216"/>
      <c r="P19" s="217"/>
      <c r="Q19" s="218"/>
      <c r="R19" s="219"/>
      <c r="S19" s="220"/>
      <c r="T19" s="221"/>
      <c r="U19" s="257">
        <f t="shared" si="1"/>
        <v>0</v>
      </c>
      <c r="V19" s="257">
        <f t="shared" si="2"/>
        <v>0</v>
      </c>
      <c r="W19" s="222">
        <f>U19*3.46</f>
        <v>0</v>
      </c>
      <c r="X19" s="262">
        <f t="shared" si="5"/>
        <v>0</v>
      </c>
    </row>
    <row r="20" ht="99.75" customHeight="1">
      <c r="B20" s="261" t="s">
        <v>328</v>
      </c>
      <c r="C20" s="151"/>
      <c r="D20" s="117">
        <v>5.0</v>
      </c>
      <c r="E20" s="117" t="s">
        <v>329</v>
      </c>
      <c r="F20" s="46">
        <v>123.0</v>
      </c>
      <c r="G20" s="208"/>
      <c r="H20" s="209"/>
      <c r="I20" s="236"/>
      <c r="J20" s="224"/>
      <c r="K20" s="237"/>
      <c r="L20" s="213"/>
      <c r="M20" s="214"/>
      <c r="N20" s="215"/>
      <c r="O20" s="216"/>
      <c r="P20" s="217"/>
      <c r="Q20" s="218"/>
      <c r="R20" s="219"/>
      <c r="S20" s="220"/>
      <c r="T20" s="221"/>
      <c r="U20" s="257">
        <f t="shared" si="1"/>
        <v>0</v>
      </c>
      <c r="V20" s="257">
        <f t="shared" si="2"/>
        <v>0</v>
      </c>
      <c r="W20" s="222">
        <f>U20*2.18</f>
        <v>0</v>
      </c>
      <c r="X20" s="262">
        <f t="shared" si="5"/>
        <v>0</v>
      </c>
    </row>
    <row r="21" ht="99.75" customHeight="1">
      <c r="B21" s="150" t="s">
        <v>330</v>
      </c>
      <c r="C21" s="151"/>
      <c r="D21" s="117">
        <v>10.0</v>
      </c>
      <c r="E21" s="117" t="s">
        <v>331</v>
      </c>
      <c r="F21" s="46">
        <v>261.0</v>
      </c>
      <c r="G21" s="208"/>
      <c r="H21" s="209"/>
      <c r="I21" s="236"/>
      <c r="J21" s="224"/>
      <c r="K21" s="237"/>
      <c r="L21" s="213"/>
      <c r="M21" s="214"/>
      <c r="N21" s="215"/>
      <c r="O21" s="216"/>
      <c r="P21" s="217"/>
      <c r="Q21" s="218"/>
      <c r="R21" s="219"/>
      <c r="S21" s="220"/>
      <c r="T21" s="221"/>
      <c r="U21" s="257">
        <f t="shared" si="1"/>
        <v>0</v>
      </c>
      <c r="V21" s="257">
        <f t="shared" si="2"/>
        <v>0</v>
      </c>
      <c r="W21" s="222">
        <f>U21*2.46</f>
        <v>0</v>
      </c>
      <c r="X21" s="262">
        <f t="shared" si="5"/>
        <v>0</v>
      </c>
    </row>
    <row r="22" ht="99.75" customHeight="1">
      <c r="B22" s="150" t="s">
        <v>332</v>
      </c>
      <c r="C22" s="151"/>
      <c r="D22" s="117">
        <v>5.0</v>
      </c>
      <c r="E22" s="117" t="s">
        <v>333</v>
      </c>
      <c r="F22" s="46">
        <v>237.0</v>
      </c>
      <c r="G22" s="208"/>
      <c r="H22" s="209"/>
      <c r="I22" s="236"/>
      <c r="J22" s="224"/>
      <c r="K22" s="237"/>
      <c r="L22" s="213"/>
      <c r="M22" s="214"/>
      <c r="N22" s="215"/>
      <c r="O22" s="216"/>
      <c r="P22" s="217"/>
      <c r="Q22" s="218"/>
      <c r="R22" s="219"/>
      <c r="S22" s="220"/>
      <c r="T22" s="221"/>
      <c r="U22" s="257">
        <f t="shared" si="1"/>
        <v>0</v>
      </c>
      <c r="V22" s="257">
        <f t="shared" si="2"/>
        <v>0</v>
      </c>
      <c r="W22" s="222">
        <f>U22*3.08</f>
        <v>0</v>
      </c>
      <c r="X22" s="262">
        <f t="shared" si="5"/>
        <v>0</v>
      </c>
    </row>
    <row r="23" ht="99.75" customHeight="1">
      <c r="B23" s="150" t="s">
        <v>334</v>
      </c>
      <c r="C23" s="151"/>
      <c r="D23" s="117">
        <v>5.0</v>
      </c>
      <c r="E23" s="117" t="s">
        <v>335</v>
      </c>
      <c r="F23" s="46">
        <v>226.0</v>
      </c>
      <c r="G23" s="208"/>
      <c r="H23" s="209"/>
      <c r="I23" s="236"/>
      <c r="J23" s="224"/>
      <c r="K23" s="237"/>
      <c r="L23" s="213"/>
      <c r="M23" s="214"/>
      <c r="N23" s="215"/>
      <c r="O23" s="216"/>
      <c r="P23" s="217"/>
      <c r="Q23" s="218"/>
      <c r="R23" s="219"/>
      <c r="S23" s="220"/>
      <c r="T23" s="221"/>
      <c r="U23" s="257">
        <f t="shared" si="1"/>
        <v>0</v>
      </c>
      <c r="V23" s="257">
        <f t="shared" si="2"/>
        <v>0</v>
      </c>
      <c r="W23" s="222">
        <f>U23*2.9</f>
        <v>0</v>
      </c>
      <c r="X23" s="262">
        <f t="shared" si="5"/>
        <v>0</v>
      </c>
    </row>
    <row r="24" ht="99.75" customHeight="1">
      <c r="B24" s="150" t="s">
        <v>336</v>
      </c>
      <c r="C24" s="151"/>
      <c r="D24" s="117">
        <v>5.0</v>
      </c>
      <c r="E24" s="117" t="s">
        <v>337</v>
      </c>
      <c r="F24" s="46">
        <v>391.0</v>
      </c>
      <c r="G24" s="208"/>
      <c r="H24" s="209"/>
      <c r="I24" s="236"/>
      <c r="J24" s="224"/>
      <c r="K24" s="237"/>
      <c r="L24" s="213"/>
      <c r="M24" s="214"/>
      <c r="N24" s="215"/>
      <c r="O24" s="216"/>
      <c r="P24" s="217"/>
      <c r="Q24" s="218"/>
      <c r="R24" s="219"/>
      <c r="S24" s="220"/>
      <c r="T24" s="221"/>
      <c r="U24" s="257">
        <f t="shared" si="1"/>
        <v>0</v>
      </c>
      <c r="V24" s="257">
        <f t="shared" si="2"/>
        <v>0</v>
      </c>
      <c r="W24" s="222">
        <f>U24*5.85</f>
        <v>0</v>
      </c>
      <c r="X24" s="262">
        <f t="shared" si="5"/>
        <v>0</v>
      </c>
    </row>
    <row r="25" ht="99.75" customHeight="1">
      <c r="B25" s="150" t="s">
        <v>338</v>
      </c>
      <c r="C25" s="151"/>
      <c r="D25" s="117">
        <v>2.0</v>
      </c>
      <c r="E25" s="117" t="s">
        <v>339</v>
      </c>
      <c r="F25" s="46">
        <v>213.0</v>
      </c>
      <c r="G25" s="208"/>
      <c r="H25" s="209"/>
      <c r="I25" s="236"/>
      <c r="J25" s="224"/>
      <c r="K25" s="237"/>
      <c r="L25" s="213"/>
      <c r="M25" s="214"/>
      <c r="N25" s="215"/>
      <c r="O25" s="216"/>
      <c r="P25" s="217"/>
      <c r="Q25" s="218"/>
      <c r="R25" s="219"/>
      <c r="S25" s="220"/>
      <c r="T25" s="221"/>
      <c r="U25" s="257">
        <f t="shared" si="1"/>
        <v>0</v>
      </c>
      <c r="V25" s="257">
        <f t="shared" si="2"/>
        <v>0</v>
      </c>
      <c r="W25" s="222">
        <f>U25*3.31</f>
        <v>0</v>
      </c>
      <c r="X25" s="262">
        <f t="shared" si="5"/>
        <v>0</v>
      </c>
    </row>
    <row r="26" ht="99.75" customHeight="1">
      <c r="B26" s="150" t="s">
        <v>340</v>
      </c>
      <c r="C26" s="151"/>
      <c r="D26" s="117">
        <v>2.0</v>
      </c>
      <c r="E26" s="117" t="s">
        <v>341</v>
      </c>
      <c r="F26" s="46">
        <v>275.0</v>
      </c>
      <c r="G26" s="208"/>
      <c r="H26" s="209"/>
      <c r="I26" s="236"/>
      <c r="J26" s="224"/>
      <c r="K26" s="237"/>
      <c r="L26" s="213"/>
      <c r="M26" s="214"/>
      <c r="N26" s="215"/>
      <c r="O26" s="216"/>
      <c r="P26" s="217"/>
      <c r="Q26" s="218"/>
      <c r="R26" s="219"/>
      <c r="S26" s="220"/>
      <c r="T26" s="221"/>
      <c r="U26" s="257">
        <f t="shared" si="1"/>
        <v>0</v>
      </c>
      <c r="V26" s="257">
        <f t="shared" si="2"/>
        <v>0</v>
      </c>
      <c r="W26" s="222">
        <f>U26*4.27</f>
        <v>0</v>
      </c>
      <c r="X26" s="262">
        <f t="shared" si="5"/>
        <v>0</v>
      </c>
    </row>
    <row r="27" ht="99.75" customHeight="1">
      <c r="B27" s="150" t="s">
        <v>342</v>
      </c>
      <c r="C27" s="151"/>
      <c r="D27" s="117">
        <v>2.0</v>
      </c>
      <c r="E27" s="117" t="s">
        <v>343</v>
      </c>
      <c r="F27" s="46">
        <v>265.0</v>
      </c>
      <c r="G27" s="208"/>
      <c r="H27" s="209"/>
      <c r="I27" s="236"/>
      <c r="J27" s="224"/>
      <c r="K27" s="237"/>
      <c r="L27" s="213"/>
      <c r="M27" s="214"/>
      <c r="N27" s="215"/>
      <c r="O27" s="216"/>
      <c r="P27" s="217"/>
      <c r="Q27" s="218"/>
      <c r="R27" s="219"/>
      <c r="S27" s="220"/>
      <c r="T27" s="221"/>
      <c r="U27" s="257">
        <f t="shared" si="1"/>
        <v>0</v>
      </c>
      <c r="V27" s="257">
        <f t="shared" si="2"/>
        <v>0</v>
      </c>
      <c r="W27" s="222">
        <f>U27*4.24</f>
        <v>0</v>
      </c>
      <c r="X27" s="262">
        <f t="shared" si="5"/>
        <v>0</v>
      </c>
    </row>
    <row r="28" ht="99.75" customHeight="1">
      <c r="B28" s="153" t="s">
        <v>344</v>
      </c>
      <c r="C28" s="154"/>
      <c r="D28" s="19">
        <v>2.0</v>
      </c>
      <c r="E28" s="19" t="s">
        <v>345</v>
      </c>
      <c r="F28" s="46">
        <v>203.0</v>
      </c>
      <c r="G28" s="368"/>
      <c r="H28" s="369"/>
      <c r="I28" s="370"/>
      <c r="J28" s="371"/>
      <c r="K28" s="372"/>
      <c r="L28" s="373"/>
      <c r="M28" s="374"/>
      <c r="N28" s="375"/>
      <c r="O28" s="376"/>
      <c r="P28" s="377"/>
      <c r="Q28" s="378"/>
      <c r="R28" s="379"/>
      <c r="S28" s="380"/>
      <c r="T28" s="381"/>
      <c r="U28" s="257">
        <f t="shared" si="1"/>
        <v>0</v>
      </c>
      <c r="V28" s="257">
        <f t="shared" si="2"/>
        <v>0</v>
      </c>
      <c r="W28" s="382">
        <f>U28*3.14</f>
        <v>0</v>
      </c>
      <c r="X28" s="383">
        <f t="shared" si="5"/>
        <v>0</v>
      </c>
    </row>
    <row r="29" ht="15.75" customHeight="1">
      <c r="B29" s="172"/>
      <c r="C29" s="172"/>
      <c r="D29" s="172"/>
      <c r="E29" s="172"/>
      <c r="F29" s="6"/>
      <c r="G29" s="385">
        <f t="shared" ref="G29:I29" si="7">SUM(G6:G28)</f>
        <v>0</v>
      </c>
      <c r="H29" s="385">
        <f t="shared" si="7"/>
        <v>0</v>
      </c>
      <c r="I29" s="385">
        <f t="shared" si="7"/>
        <v>0</v>
      </c>
      <c r="J29" s="385">
        <f>+SUM(J6:J28)</f>
        <v>0</v>
      </c>
      <c r="K29" s="385">
        <f t="shared" ref="K29:X29" si="8">SUM(K6:K28)</f>
        <v>0</v>
      </c>
      <c r="L29" s="385">
        <f t="shared" si="8"/>
        <v>0</v>
      </c>
      <c r="M29" s="385">
        <f t="shared" si="8"/>
        <v>0</v>
      </c>
      <c r="N29" s="385">
        <f t="shared" si="8"/>
        <v>0</v>
      </c>
      <c r="O29" s="385">
        <f t="shared" si="8"/>
        <v>0</v>
      </c>
      <c r="P29" s="385">
        <f t="shared" si="8"/>
        <v>0</v>
      </c>
      <c r="Q29" s="385">
        <f t="shared" si="8"/>
        <v>0</v>
      </c>
      <c r="R29" s="385">
        <f t="shared" si="8"/>
        <v>0</v>
      </c>
      <c r="S29" s="385">
        <f t="shared" si="8"/>
        <v>0</v>
      </c>
      <c r="T29" s="385">
        <f t="shared" si="8"/>
        <v>0</v>
      </c>
      <c r="U29" s="385">
        <f t="shared" si="8"/>
        <v>0</v>
      </c>
      <c r="V29" s="385">
        <f t="shared" si="8"/>
        <v>0</v>
      </c>
      <c r="W29" s="385">
        <f t="shared" si="8"/>
        <v>0</v>
      </c>
      <c r="X29" s="386">
        <f t="shared" si="8"/>
        <v>0</v>
      </c>
    </row>
    <row r="30" ht="15.75" customHeight="1">
      <c r="F30" s="1"/>
    </row>
    <row r="31" ht="15.75" customHeight="1">
      <c r="F31" s="1"/>
    </row>
    <row r="32" ht="15.75" customHeight="1">
      <c r="F32" s="1"/>
    </row>
    <row r="33" ht="15.75" customHeight="1">
      <c r="F33" s="1"/>
    </row>
    <row r="34" ht="15.75" customHeight="1">
      <c r="F34" s="1"/>
    </row>
    <row r="35" ht="15.75" customHeight="1">
      <c r="F35" s="1"/>
    </row>
    <row r="36" ht="15.75" customHeight="1">
      <c r="F36" s="1"/>
    </row>
    <row r="37" ht="15.75" customHeight="1">
      <c r="F37" s="1"/>
    </row>
    <row r="38" ht="15.75" customHeight="1">
      <c r="F38" s="1"/>
    </row>
    <row r="39" ht="15.75" customHeight="1">
      <c r="F39" s="1"/>
    </row>
    <row r="40" ht="15.75" customHeight="1">
      <c r="F40" s="1"/>
    </row>
    <row r="41" ht="15.75" customHeight="1">
      <c r="F41" s="1"/>
    </row>
    <row r="42" ht="15.75" customHeight="1">
      <c r="F42" s="1"/>
    </row>
    <row r="43" ht="15.75" customHeight="1">
      <c r="F43" s="1"/>
    </row>
    <row r="44" ht="15.75" customHeight="1">
      <c r="F44" s="1"/>
    </row>
    <row r="45" ht="15.75" customHeight="1">
      <c r="F45" s="1"/>
    </row>
    <row r="46" ht="15.75" customHeight="1">
      <c r="F46" s="1"/>
    </row>
    <row r="47" ht="15.75" customHeight="1">
      <c r="F47" s="1"/>
    </row>
    <row r="48" ht="15.75" customHeight="1">
      <c r="F48" s="1"/>
    </row>
    <row r="49" ht="15.75" customHeight="1">
      <c r="F49" s="1"/>
    </row>
    <row r="50" ht="15.75" customHeight="1">
      <c r="F50" s="1"/>
    </row>
    <row r="51" ht="15.75" customHeight="1">
      <c r="F51" s="1"/>
    </row>
    <row r="52" ht="15.75" customHeight="1">
      <c r="F52" s="1"/>
    </row>
    <row r="53" ht="15.75" customHeight="1">
      <c r="F53" s="1"/>
    </row>
    <row r="54" ht="15.75" customHeight="1">
      <c r="F54" s="1"/>
    </row>
    <row r="55" ht="15.75" customHeight="1">
      <c r="F55" s="1"/>
    </row>
    <row r="56" ht="15.75" customHeight="1">
      <c r="F56" s="1"/>
    </row>
    <row r="57" ht="15.75" customHeight="1">
      <c r="F57" s="1"/>
    </row>
    <row r="58" ht="15.75" customHeight="1">
      <c r="F58" s="1"/>
    </row>
    <row r="59" ht="15.75" customHeight="1">
      <c r="F59" s="1"/>
    </row>
    <row r="60" ht="15.75" customHeight="1">
      <c r="F60" s="1"/>
    </row>
    <row r="61" ht="15.75" customHeight="1">
      <c r="F61" s="1"/>
    </row>
    <row r="62" ht="15.75" customHeight="1">
      <c r="F62" s="1"/>
    </row>
    <row r="63" ht="15.75" customHeight="1">
      <c r="F63" s="1"/>
    </row>
    <row r="64" ht="15.75" customHeight="1">
      <c r="F64" s="1"/>
    </row>
    <row r="65" ht="15.75" customHeight="1">
      <c r="F65" s="1"/>
    </row>
    <row r="66" ht="15.75" customHeight="1">
      <c r="F66" s="1"/>
    </row>
    <row r="67" ht="15.75" customHeight="1">
      <c r="F67" s="1"/>
    </row>
    <row r="68" ht="15.75" customHeight="1">
      <c r="F68" s="1"/>
    </row>
    <row r="69" ht="15.75" customHeight="1">
      <c r="F69" s="1"/>
    </row>
    <row r="70" ht="15.75" customHeight="1">
      <c r="F70" s="1"/>
    </row>
    <row r="71" ht="15.75" customHeight="1">
      <c r="F71" s="1"/>
    </row>
    <row r="72" ht="15.75" customHeight="1">
      <c r="F72" s="1"/>
    </row>
    <row r="73" ht="15.75" customHeight="1">
      <c r="F73" s="1"/>
    </row>
    <row r="74" ht="15.75" customHeight="1">
      <c r="F74" s="1"/>
    </row>
    <row r="75" ht="15.75" customHeight="1">
      <c r="F75" s="1"/>
    </row>
    <row r="76" ht="15.75" customHeight="1">
      <c r="F76" s="1"/>
    </row>
    <row r="77" ht="15.75" customHeight="1">
      <c r="F77" s="1"/>
    </row>
    <row r="78" ht="15.75" customHeight="1">
      <c r="F78" s="1"/>
    </row>
    <row r="79" ht="15.75" customHeight="1">
      <c r="F79" s="1"/>
    </row>
    <row r="80" ht="15.75" customHeight="1">
      <c r="F80" s="1"/>
    </row>
    <row r="81" ht="15.75" customHeight="1">
      <c r="F81" s="1"/>
    </row>
    <row r="82" ht="15.75" customHeight="1">
      <c r="F82" s="1"/>
    </row>
    <row r="83" ht="15.75" customHeight="1">
      <c r="F83" s="1"/>
    </row>
    <row r="84" ht="15.75" customHeight="1">
      <c r="F84" s="1"/>
    </row>
    <row r="85" ht="15.75" customHeight="1">
      <c r="F85" s="1"/>
    </row>
    <row r="86" ht="15.75" customHeight="1">
      <c r="F86" s="1"/>
    </row>
    <row r="87" ht="15.75" customHeight="1">
      <c r="F87" s="1"/>
    </row>
    <row r="88" ht="15.75" customHeight="1">
      <c r="F88" s="1"/>
    </row>
    <row r="89" ht="15.75" customHeight="1">
      <c r="F89" s="1"/>
    </row>
    <row r="90" ht="15.75" customHeight="1">
      <c r="F90" s="1"/>
    </row>
    <row r="91" ht="15.75" customHeight="1">
      <c r="F91" s="1"/>
    </row>
    <row r="92" ht="15.75" customHeight="1">
      <c r="F92" s="1"/>
    </row>
    <row r="93" ht="15.75" customHeight="1">
      <c r="F93" s="1"/>
    </row>
    <row r="94" ht="15.75" customHeight="1">
      <c r="F94" s="1"/>
    </row>
    <row r="95" ht="15.75" customHeight="1">
      <c r="F95" s="1"/>
    </row>
    <row r="96" ht="15.75" customHeight="1">
      <c r="F96" s="1"/>
    </row>
    <row r="97" ht="15.75" customHeight="1">
      <c r="F97" s="1"/>
    </row>
    <row r="98" ht="15.75" customHeight="1">
      <c r="F98" s="1"/>
    </row>
    <row r="99" ht="15.75" customHeight="1">
      <c r="F99" s="1"/>
    </row>
    <row r="100" ht="15.75" customHeight="1">
      <c r="F100" s="1"/>
    </row>
    <row r="101" ht="15.75" customHeight="1">
      <c r="F101" s="1"/>
    </row>
    <row r="102" ht="15.75" customHeight="1">
      <c r="F102" s="1"/>
    </row>
    <row r="103" ht="15.75" customHeight="1">
      <c r="F103" s="1"/>
    </row>
    <row r="104" ht="15.75" customHeight="1">
      <c r="F104" s="1"/>
    </row>
    <row r="105" ht="15.75" customHeight="1">
      <c r="F105" s="1"/>
    </row>
    <row r="106" ht="15.75" customHeight="1">
      <c r="F106" s="1"/>
    </row>
    <row r="107" ht="15.75" customHeight="1">
      <c r="F107" s="1"/>
    </row>
    <row r="108" ht="15.75" customHeight="1">
      <c r="F108" s="1"/>
    </row>
    <row r="109" ht="15.75" customHeight="1">
      <c r="F109" s="1"/>
    </row>
    <row r="110" ht="15.75" customHeight="1">
      <c r="F110" s="1"/>
    </row>
    <row r="111" ht="15.75" customHeight="1">
      <c r="F111" s="1"/>
    </row>
    <row r="112" ht="15.75" customHeight="1">
      <c r="F112" s="1"/>
    </row>
    <row r="113" ht="15.75" customHeight="1">
      <c r="F113" s="1"/>
    </row>
    <row r="114" ht="15.75" customHeight="1">
      <c r="F114" s="1"/>
    </row>
    <row r="115" ht="15.75" customHeight="1">
      <c r="F115" s="1"/>
    </row>
    <row r="116" ht="15.75" customHeight="1">
      <c r="F116" s="1"/>
    </row>
    <row r="117" ht="15.75" customHeight="1">
      <c r="F117" s="1"/>
    </row>
    <row r="118" ht="15.75" customHeight="1">
      <c r="F118" s="1"/>
    </row>
    <row r="119" ht="15.75" customHeight="1">
      <c r="F119" s="1"/>
    </row>
    <row r="120" ht="15.75" customHeight="1">
      <c r="F120" s="1"/>
    </row>
    <row r="121" ht="15.75" customHeight="1">
      <c r="F121" s="1"/>
    </row>
    <row r="122" ht="15.75" customHeight="1">
      <c r="F122" s="1"/>
    </row>
    <row r="123" ht="15.75" customHeight="1">
      <c r="F123" s="1"/>
    </row>
    <row r="124" ht="15.75" customHeight="1">
      <c r="F124" s="1"/>
    </row>
    <row r="125" ht="15.75" customHeight="1">
      <c r="F125" s="1"/>
    </row>
    <row r="126" ht="15.75" customHeight="1">
      <c r="F126" s="1"/>
    </row>
    <row r="127" ht="15.75" customHeight="1">
      <c r="F127" s="1"/>
    </row>
    <row r="128" ht="15.75" customHeight="1">
      <c r="F128" s="1"/>
    </row>
    <row r="129" ht="15.75" customHeight="1">
      <c r="F129" s="1"/>
    </row>
    <row r="130" ht="15.75" customHeight="1">
      <c r="F130" s="1"/>
    </row>
    <row r="131" ht="15.75" customHeight="1">
      <c r="F131" s="1"/>
    </row>
    <row r="132" ht="15.75" customHeight="1">
      <c r="F132" s="1"/>
    </row>
    <row r="133" ht="15.75" customHeight="1">
      <c r="F133" s="1"/>
    </row>
    <row r="134" ht="15.75" customHeight="1">
      <c r="F134" s="1"/>
    </row>
    <row r="135" ht="15.75" customHeight="1">
      <c r="F135" s="1"/>
    </row>
    <row r="136" ht="15.75" customHeight="1">
      <c r="F136" s="1"/>
    </row>
    <row r="137" ht="15.75" customHeight="1">
      <c r="F137" s="1"/>
    </row>
    <row r="138" ht="15.75" customHeight="1">
      <c r="F138" s="1"/>
    </row>
    <row r="139" ht="15.75" customHeight="1">
      <c r="F139" s="1"/>
    </row>
    <row r="140" ht="15.75" customHeight="1">
      <c r="F140" s="1"/>
    </row>
    <row r="141" ht="15.75" customHeight="1">
      <c r="F141" s="1"/>
    </row>
    <row r="142" ht="15.75" customHeight="1">
      <c r="F142" s="1"/>
    </row>
    <row r="143" ht="15.75" customHeight="1">
      <c r="F143" s="1"/>
    </row>
    <row r="144" ht="15.75" customHeight="1">
      <c r="F144" s="1"/>
    </row>
    <row r="145" ht="15.75" customHeight="1">
      <c r="F145" s="1"/>
    </row>
    <row r="146" ht="15.75" customHeight="1">
      <c r="F146" s="1"/>
    </row>
    <row r="147" ht="15.75" customHeight="1">
      <c r="F147" s="1"/>
    </row>
    <row r="148" ht="15.75" customHeight="1">
      <c r="F148" s="1"/>
    </row>
    <row r="149" ht="15.75" customHeight="1">
      <c r="F149" s="1"/>
    </row>
    <row r="150" ht="15.75" customHeight="1">
      <c r="F150" s="1"/>
    </row>
    <row r="151" ht="15.75" customHeight="1">
      <c r="F151" s="1"/>
    </row>
    <row r="152" ht="15.75" customHeight="1">
      <c r="F152" s="1"/>
    </row>
    <row r="153" ht="15.75" customHeight="1">
      <c r="F153" s="1"/>
    </row>
    <row r="154" ht="15.75" customHeight="1">
      <c r="F154" s="1"/>
    </row>
    <row r="155" ht="15.75" customHeight="1">
      <c r="F155" s="1"/>
    </row>
    <row r="156" ht="15.75" customHeight="1">
      <c r="F156" s="1"/>
    </row>
    <row r="157" ht="15.75" customHeight="1">
      <c r="F157" s="1"/>
    </row>
    <row r="158" ht="15.75" customHeight="1">
      <c r="F158" s="1"/>
    </row>
    <row r="159" ht="15.75" customHeight="1">
      <c r="F159" s="1"/>
    </row>
    <row r="160" ht="15.75" customHeight="1">
      <c r="F160" s="1"/>
    </row>
    <row r="161" ht="15.75" customHeight="1">
      <c r="F161" s="1"/>
    </row>
    <row r="162" ht="15.75" customHeight="1">
      <c r="F162" s="1"/>
    </row>
    <row r="163" ht="15.75" customHeight="1">
      <c r="F163" s="1"/>
    </row>
    <row r="164" ht="15.75" customHeight="1">
      <c r="F164" s="1"/>
    </row>
    <row r="165" ht="15.75" customHeight="1">
      <c r="F165" s="1"/>
    </row>
    <row r="166" ht="15.75" customHeight="1">
      <c r="F166" s="1"/>
    </row>
    <row r="167" ht="15.75" customHeight="1">
      <c r="F167" s="1"/>
    </row>
    <row r="168" ht="15.75" customHeight="1">
      <c r="F168" s="1"/>
    </row>
    <row r="169" ht="15.75" customHeight="1">
      <c r="F169" s="1"/>
    </row>
    <row r="170" ht="15.75" customHeight="1">
      <c r="F170" s="1"/>
    </row>
    <row r="171" ht="15.75" customHeight="1">
      <c r="F171" s="1"/>
    </row>
    <row r="172" ht="15.75" customHeight="1">
      <c r="F172" s="1"/>
    </row>
    <row r="173" ht="15.75" customHeight="1">
      <c r="F173" s="1"/>
    </row>
    <row r="174" ht="15.75" customHeight="1">
      <c r="F174" s="1"/>
    </row>
    <row r="175" ht="15.75" customHeight="1">
      <c r="F175" s="1"/>
    </row>
    <row r="176" ht="15.75" customHeight="1">
      <c r="F176" s="1"/>
    </row>
    <row r="177" ht="15.75" customHeight="1">
      <c r="F177" s="1"/>
    </row>
    <row r="178" ht="15.75" customHeight="1">
      <c r="F178" s="1"/>
    </row>
    <row r="179" ht="15.75" customHeight="1">
      <c r="F179" s="1"/>
    </row>
    <row r="180" ht="15.75" customHeight="1">
      <c r="F180" s="1"/>
    </row>
    <row r="181" ht="15.75" customHeight="1">
      <c r="F181" s="1"/>
    </row>
    <row r="182" ht="15.75" customHeight="1">
      <c r="F182" s="1"/>
    </row>
    <row r="183" ht="15.75" customHeight="1">
      <c r="F183" s="1"/>
    </row>
    <row r="184" ht="15.75" customHeight="1">
      <c r="F184" s="1"/>
    </row>
    <row r="185" ht="15.75" customHeight="1">
      <c r="F185" s="1"/>
    </row>
    <row r="186" ht="15.75" customHeight="1">
      <c r="F186" s="1"/>
    </row>
    <row r="187" ht="15.75" customHeight="1">
      <c r="F187" s="1"/>
    </row>
    <row r="188" ht="15.75" customHeight="1">
      <c r="F188" s="1"/>
    </row>
    <row r="189" ht="15.75" customHeight="1">
      <c r="F189" s="1"/>
    </row>
    <row r="190" ht="15.75" customHeight="1">
      <c r="F190" s="1"/>
    </row>
    <row r="191" ht="15.75" customHeight="1">
      <c r="F191" s="1"/>
    </row>
    <row r="192" ht="15.75" customHeight="1">
      <c r="F192" s="1"/>
    </row>
    <row r="193" ht="15.75" customHeight="1">
      <c r="F193" s="1"/>
    </row>
    <row r="194" ht="15.75" customHeight="1">
      <c r="F194" s="1"/>
    </row>
    <row r="195" ht="15.75" customHeight="1">
      <c r="F195" s="1"/>
    </row>
    <row r="196" ht="15.75" customHeight="1">
      <c r="F196" s="1"/>
    </row>
    <row r="197" ht="15.75" customHeight="1">
      <c r="F197" s="1"/>
    </row>
    <row r="198" ht="15.75" customHeight="1">
      <c r="F198" s="1"/>
    </row>
    <row r="199" ht="15.75" customHeight="1">
      <c r="F199" s="1"/>
    </row>
    <row r="200" ht="15.75" customHeight="1">
      <c r="F200" s="1"/>
    </row>
    <row r="201" ht="15.75" customHeight="1">
      <c r="F201" s="1"/>
    </row>
    <row r="202" ht="15.75" customHeight="1">
      <c r="F202" s="1"/>
    </row>
    <row r="203" ht="15.75" customHeight="1">
      <c r="F203" s="1"/>
    </row>
    <row r="204" ht="15.75" customHeight="1">
      <c r="F204" s="1"/>
    </row>
    <row r="205" ht="15.75" customHeight="1">
      <c r="F205" s="1"/>
    </row>
    <row r="206" ht="15.75" customHeight="1">
      <c r="F206" s="1"/>
    </row>
    <row r="207" ht="15.75" customHeight="1">
      <c r="F207" s="1"/>
    </row>
    <row r="208" ht="15.75" customHeight="1">
      <c r="F208" s="1"/>
    </row>
    <row r="209" ht="15.75" customHeight="1">
      <c r="F209" s="1"/>
    </row>
    <row r="210" ht="15.75" customHeight="1">
      <c r="F210" s="1"/>
    </row>
    <row r="211" ht="15.75" customHeight="1">
      <c r="F211" s="1"/>
    </row>
    <row r="212" ht="15.75" customHeight="1">
      <c r="F212" s="1"/>
    </row>
    <row r="213" ht="15.75" customHeight="1">
      <c r="F213" s="1"/>
    </row>
    <row r="214" ht="15.75" customHeight="1">
      <c r="F214" s="1"/>
    </row>
    <row r="215" ht="15.75" customHeight="1">
      <c r="F215" s="1"/>
    </row>
    <row r="216" ht="15.75" customHeight="1">
      <c r="F216" s="1"/>
    </row>
    <row r="217" ht="15.75" customHeight="1">
      <c r="F217" s="1"/>
    </row>
    <row r="218" ht="15.75" customHeight="1">
      <c r="F218" s="1"/>
    </row>
    <row r="219" ht="15.75" customHeight="1">
      <c r="F219" s="1"/>
    </row>
    <row r="220" ht="15.75" customHeight="1">
      <c r="F220" s="1"/>
    </row>
    <row r="221" ht="15.75" customHeight="1">
      <c r="F221" s="1"/>
    </row>
    <row r="222" ht="15.75" customHeight="1">
      <c r="F222" s="1"/>
    </row>
    <row r="223" ht="15.75" customHeight="1">
      <c r="F223" s="1"/>
    </row>
    <row r="224" ht="15.75" customHeight="1">
      <c r="F224" s="1"/>
    </row>
    <row r="225" ht="15.75" customHeight="1">
      <c r="F225" s="1"/>
    </row>
    <row r="226" ht="15.75" customHeight="1">
      <c r="F226" s="1"/>
    </row>
    <row r="227" ht="15.75" customHeight="1">
      <c r="F227" s="1"/>
    </row>
    <row r="228" ht="15.75" customHeight="1">
      <c r="F228" s="1"/>
    </row>
    <row r="229" ht="15.75" customHeight="1">
      <c r="F229" s="1"/>
    </row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E3"/>
  </mergeCells>
  <printOptions/>
  <pageMargins bottom="0.75" footer="0.0" header="0.0" left="0.7" right="0.7" top="0.75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